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851" activeTab="0"/>
  </bookViews>
  <sheets>
    <sheet name="Zestawienie ogólne" sheetId="1" r:id="rId1"/>
    <sheet name="Gmina Mrozy_ok" sheetId="2" r:id="rId2"/>
    <sheet name="Miasto Mińsk Mazowiecki_ok" sheetId="3" r:id="rId3"/>
    <sheet name="Gmina Mińsk Mazowiecki_ok" sheetId="4" r:id="rId4"/>
    <sheet name="Gmina Halinów_ok" sheetId="5" r:id="rId5"/>
    <sheet name="Gmina Dębe Wielkie_ok" sheetId="6" r:id="rId6"/>
    <sheet name="Gmina Siennica_ok" sheetId="7" r:id="rId7"/>
    <sheet name="Gmina Latowicz_ok" sheetId="8" r:id="rId8"/>
    <sheet name="Gmina Cegłów_ok" sheetId="9" r:id="rId9"/>
    <sheet name="Miasto Sulejówek_ok" sheetId="10" r:id="rId10"/>
    <sheet name="Gmina Dobre_ok" sheetId="11" r:id="rId11"/>
    <sheet name="Gmina Jakubów_ok" sheetId="12" r:id="rId12"/>
    <sheet name="Gmina Kałuszyn_ok" sheetId="13" r:id="rId13"/>
    <sheet name="Gmina Stanisławów_ok" sheetId="14" r:id="rId14"/>
    <sheet name="Gmina Kotuń_ok" sheetId="15" r:id="rId15"/>
  </sheets>
  <definedNames>
    <definedName name="Z_8EDAD174_3980_4C7B_B1F5_1539114A8AFD_.wvu.FilterData" localSheetId="8" hidden="1">'Gmina Cegłów_ok'!$A$15:$O$17</definedName>
    <definedName name="Z_8EDAD174_3980_4C7B_B1F5_1539114A8AFD_.wvu.FilterData" localSheetId="5" hidden="1">'Gmina Dębe Wielkie_ok'!$A$15:$O$17</definedName>
    <definedName name="Z_8EDAD174_3980_4C7B_B1F5_1539114A8AFD_.wvu.FilterData" localSheetId="10" hidden="1">'Gmina Dobre_ok'!$A$15:$O$17</definedName>
    <definedName name="Z_8EDAD174_3980_4C7B_B1F5_1539114A8AFD_.wvu.FilterData" localSheetId="4" hidden="1">'Gmina Halinów_ok'!$A$15:$O$123</definedName>
    <definedName name="Z_8EDAD174_3980_4C7B_B1F5_1539114A8AFD_.wvu.FilterData" localSheetId="11" hidden="1">'Gmina Jakubów_ok'!$A$15:$O$17</definedName>
    <definedName name="Z_8EDAD174_3980_4C7B_B1F5_1539114A8AFD_.wvu.FilterData" localSheetId="12" hidden="1">'Gmina Kałuszyn_ok'!$A$15:$O$17</definedName>
    <definedName name="Z_8EDAD174_3980_4C7B_B1F5_1539114A8AFD_.wvu.FilterData" localSheetId="14" hidden="1">'Gmina Kotuń_ok'!$A$15:$O$17</definedName>
    <definedName name="Z_8EDAD174_3980_4C7B_B1F5_1539114A8AFD_.wvu.FilterData" localSheetId="3" hidden="1">'Gmina Mińsk Mazowiecki_ok'!$A$15:$O$162</definedName>
    <definedName name="Z_8EDAD174_3980_4C7B_B1F5_1539114A8AFD_.wvu.FilterData" localSheetId="1" hidden="1">'Gmina Mrozy_ok'!$A$18:$O$20</definedName>
    <definedName name="Z_8EDAD174_3980_4C7B_B1F5_1539114A8AFD_.wvu.FilterData" localSheetId="6" hidden="1">'Gmina Siennica_ok'!$A$15:$O$17</definedName>
    <definedName name="Z_8EDAD174_3980_4C7B_B1F5_1539114A8AFD_.wvu.FilterData" localSheetId="13" hidden="1">'Gmina Stanisławów_ok'!$A$15:$O$17</definedName>
    <definedName name="Z_8EDAD174_3980_4C7B_B1F5_1539114A8AFD_.wvu.FilterData" localSheetId="2" hidden="1">'Miasto Mińsk Mazowiecki_ok'!$A$15:$O$17</definedName>
    <definedName name="Z_8EDAD174_3980_4C7B_B1F5_1539114A8AFD_.wvu.FilterData" localSheetId="9" hidden="1">'Miasto Sulejówek_ok'!$A$15:$O$17</definedName>
  </definedNames>
  <calcPr fullCalcOnLoad="1"/>
</workbook>
</file>

<file path=xl/sharedStrings.xml><?xml version="1.0" encoding="utf-8"?>
<sst xmlns="http://schemas.openxmlformats.org/spreadsheetml/2006/main" count="10152" uniqueCount="2261">
  <si>
    <t>Zmiana sprzedawcy</t>
  </si>
  <si>
    <t>Miejscowość</t>
  </si>
  <si>
    <t>Ulica</t>
  </si>
  <si>
    <t>Kod pocztowy</t>
  </si>
  <si>
    <t>Poczta</t>
  </si>
  <si>
    <t>Kod PPE</t>
  </si>
  <si>
    <t>Zużycie łączne</t>
  </si>
  <si>
    <t>K</t>
  </si>
  <si>
    <t>Oświetlenie uliczne</t>
  </si>
  <si>
    <t>05-317</t>
  </si>
  <si>
    <t>Jeruzal</t>
  </si>
  <si>
    <t>PL_ZEWD_1412000347_09</t>
  </si>
  <si>
    <t>C12a</t>
  </si>
  <si>
    <t>PL_ZEWD_1412000348_01</t>
  </si>
  <si>
    <t>Kuflew</t>
  </si>
  <si>
    <t>05-320</t>
  </si>
  <si>
    <t>Mrozy</t>
  </si>
  <si>
    <t>PL_ZEWD_1412000349_03</t>
  </si>
  <si>
    <t>PL_ZEWD_1412000350_04</t>
  </si>
  <si>
    <t>Kołacz</t>
  </si>
  <si>
    <t>PL_ZEWD_1412000351_06</t>
  </si>
  <si>
    <t>PL_ZEWD_1412000352_08</t>
  </si>
  <si>
    <t>PL_ZEWD_1412000354_02</t>
  </si>
  <si>
    <t xml:space="preserve">Łukówiec </t>
  </si>
  <si>
    <t>PL_ZEWD_1412000355_04</t>
  </si>
  <si>
    <t>Mała Wieś</t>
  </si>
  <si>
    <t>PL_ZEWD_1412000356_06</t>
  </si>
  <si>
    <t>PL_ZEWD_1412000357_08</t>
  </si>
  <si>
    <t>PL_ZEWD_1412000358_00</t>
  </si>
  <si>
    <t>Płomieniec</t>
  </si>
  <si>
    <t>PL_ZEWD_1412000359_02</t>
  </si>
  <si>
    <t>Lipiny</t>
  </si>
  <si>
    <t>PL_ZEWD_1412000360_03</t>
  </si>
  <si>
    <t>PL_ZEWD_1412000362_07</t>
  </si>
  <si>
    <t>PL_ZEWD_1412000364_01</t>
  </si>
  <si>
    <t>Dębowce</t>
  </si>
  <si>
    <t>PL_ZEWD_1412000365_03</t>
  </si>
  <si>
    <t>PL_ZEWD_1412000366_05</t>
  </si>
  <si>
    <t>PL_ZEWD_1412000367_07</t>
  </si>
  <si>
    <t>Nadrzeczna</t>
  </si>
  <si>
    <t>PL_ZEWD_1412000410_06</t>
  </si>
  <si>
    <t>Zwycięstwa</t>
  </si>
  <si>
    <t>PL_ZEWD_1412000411_08</t>
  </si>
  <si>
    <t>3-go Maja</t>
  </si>
  <si>
    <t>PL_ZEWD_1412000412_00</t>
  </si>
  <si>
    <t>PL_ZEWD_1412000413_02</t>
  </si>
  <si>
    <t>Mickiewicza</t>
  </si>
  <si>
    <t>PL_ZEWD_1412000414_04</t>
  </si>
  <si>
    <t>Kruki</t>
  </si>
  <si>
    <t>16A</t>
  </si>
  <si>
    <t>PL_ZEWD_1412000368_09</t>
  </si>
  <si>
    <t>PL_ZEWD_1412000415_06</t>
  </si>
  <si>
    <t>Letnia</t>
  </si>
  <si>
    <t>PL_ZEWD_1412000416_08</t>
  </si>
  <si>
    <t>Wspólna</t>
  </si>
  <si>
    <t>PL_ZEWD_1412000370_02</t>
  </si>
  <si>
    <t>PL_ZEWD_1412000417_00</t>
  </si>
  <si>
    <t>Słoneczna</t>
  </si>
  <si>
    <t>PL_ZEWD_1412000419_04</t>
  </si>
  <si>
    <t>Pokoju</t>
  </si>
  <si>
    <t>PL_ZEWD_1412000420_05</t>
  </si>
  <si>
    <t>Sienkiewicza</t>
  </si>
  <si>
    <t>PL_ZEWD_1412000421_07</t>
  </si>
  <si>
    <t>PL_ZEWD_1412000422_09</t>
  </si>
  <si>
    <t xml:space="preserve">Pokoju </t>
  </si>
  <si>
    <t>PL_ZEWD_1412000423_01</t>
  </si>
  <si>
    <t>PL_ZEWD_1412000424_03</t>
  </si>
  <si>
    <t>Wola Paprotnia</t>
  </si>
  <si>
    <t>PL_ZEWD_1412000372_06</t>
  </si>
  <si>
    <t>PL_ZEWD_1412000373_08</t>
  </si>
  <si>
    <t>Kilińskiego</t>
  </si>
  <si>
    <t>PL_ZEWD_1412000425_05</t>
  </si>
  <si>
    <t>Wolności</t>
  </si>
  <si>
    <t>PL_ZEWD_1412000426_07</t>
  </si>
  <si>
    <t>Akacjowa</t>
  </si>
  <si>
    <t>PL_ZEWD_1412000427_09</t>
  </si>
  <si>
    <t>Długa</t>
  </si>
  <si>
    <t>PL_ZEWD_1412000428_01</t>
  </si>
  <si>
    <t>Okrężna</t>
  </si>
  <si>
    <t>PL_ZEWD_1412000429_03</t>
  </si>
  <si>
    <t>Zachodnia</t>
  </si>
  <si>
    <t>PL_ZEWD_1412000430_04</t>
  </si>
  <si>
    <t>Graniczna</t>
  </si>
  <si>
    <t>PL_ZEWD_1412000431_06</t>
  </si>
  <si>
    <t>Spółdzielcza</t>
  </si>
  <si>
    <t>PL_ZEWD_1412000432_08</t>
  </si>
  <si>
    <t>Licealna</t>
  </si>
  <si>
    <t>PL_ZEWD_1412000433_00</t>
  </si>
  <si>
    <t>PL_ZEWD_1412000434_02</t>
  </si>
  <si>
    <t>Szkolna</t>
  </si>
  <si>
    <t>PL_ZEWD_1412000435_04</t>
  </si>
  <si>
    <t>PL_ZEWD_1412000436_06</t>
  </si>
  <si>
    <t>PL_ZEWD_1412000376_04</t>
  </si>
  <si>
    <t>Dąbrowa</t>
  </si>
  <si>
    <t>PL_ZEWD_1412000377_06</t>
  </si>
  <si>
    <t>Sokolnik</t>
  </si>
  <si>
    <t>PL_ZEWD_1412000378_08</t>
  </si>
  <si>
    <t>Lubomin</t>
  </si>
  <si>
    <t>PL_ZEWD_1412000379_00</t>
  </si>
  <si>
    <t>47A</t>
  </si>
  <si>
    <t>PL_ZEWD_1412000380_01</t>
  </si>
  <si>
    <t>Guzew</t>
  </si>
  <si>
    <t>PL_ZEWD_1412000381_03</t>
  </si>
  <si>
    <t>PL_ZEWD_1412000382_05</t>
  </si>
  <si>
    <t>PL_ZEWD_1412000383_07</t>
  </si>
  <si>
    <t>Gójszcz</t>
  </si>
  <si>
    <t>PL_ZEWD_1412000386_03</t>
  </si>
  <si>
    <t>PL_ZEWD_1412000387_05</t>
  </si>
  <si>
    <t>Grodzisk</t>
  </si>
  <si>
    <t>PL_ZEWD_1412000437_08</t>
  </si>
  <si>
    <t>PL_ZEWD_1412000438_00</t>
  </si>
  <si>
    <t>PL_ZEWD_1412000439_02</t>
  </si>
  <si>
    <t>Mazowiecka</t>
  </si>
  <si>
    <t>PL_ZEWD_1412000440_03</t>
  </si>
  <si>
    <t>PL_ZEWD_1412000441_05</t>
  </si>
  <si>
    <t>Choszcze</t>
  </si>
  <si>
    <t>PL_ZEWD_1412000388_07</t>
  </si>
  <si>
    <t>Porzewnica</t>
  </si>
  <si>
    <t>PL_ZEWD_1412000389_09</t>
  </si>
  <si>
    <t>Rudka</t>
  </si>
  <si>
    <t>PL_ZEWD_1412000390_00</t>
  </si>
  <si>
    <t>PL_ZEWD_1412000391_02</t>
  </si>
  <si>
    <t>PL_ZEWD_1412000443_09</t>
  </si>
  <si>
    <t>Skruda</t>
  </si>
  <si>
    <t>PL_ZEWD_1412000392_04</t>
  </si>
  <si>
    <t>PL_ZEWD_1412000393_06</t>
  </si>
  <si>
    <t>PL_ZEWD_1412000394_08</t>
  </si>
  <si>
    <t>PL_ZEWD_1412000396_02</t>
  </si>
  <si>
    <t>Trojanów</t>
  </si>
  <si>
    <t>PL_ZEWD_1412000397_04</t>
  </si>
  <si>
    <t>PL_ZEWD_1412000398_06</t>
  </si>
  <si>
    <t>PL_ZEWD_1412000399_08</t>
  </si>
  <si>
    <t>Dębowa</t>
  </si>
  <si>
    <t>PL_ZEWD_1412000401_09</t>
  </si>
  <si>
    <t>Lipowa</t>
  </si>
  <si>
    <t>PL_ZEWD_1412000402_01</t>
  </si>
  <si>
    <t>PL_ZEWD_1412000403_03</t>
  </si>
  <si>
    <t>Topór</t>
  </si>
  <si>
    <t>PL_ZEWD_1412000405_07</t>
  </si>
  <si>
    <t>PL_ZEWD_1412000406_09</t>
  </si>
  <si>
    <t>PL_ZEWD_1412000407_01</t>
  </si>
  <si>
    <t>I</t>
  </si>
  <si>
    <t>PL_ZEWD_1412000384_09</t>
  </si>
  <si>
    <t>PL_ZEWD_1412000408_03</t>
  </si>
  <si>
    <t>Browarna</t>
  </si>
  <si>
    <t>PL_ZEWD_1412000409_05</t>
  </si>
  <si>
    <t>PL_ZEWD_1412000966_03</t>
  </si>
  <si>
    <t>C11</t>
  </si>
  <si>
    <t>PL_ZEWD_1412000951_04</t>
  </si>
  <si>
    <t>C11o</t>
  </si>
  <si>
    <t>Nabywca:</t>
  </si>
  <si>
    <t>Suma</t>
  </si>
  <si>
    <t>Grupa taryfowa</t>
  </si>
  <si>
    <t>Liczba PPE</t>
  </si>
  <si>
    <t>całodobowe</t>
  </si>
  <si>
    <t>Suma:</t>
  </si>
  <si>
    <t>Suma zużycia:</t>
  </si>
  <si>
    <t>oświetlenie uliczne</t>
  </si>
  <si>
    <t>Mińsk Mazowiecki</t>
  </si>
  <si>
    <t>05-300</t>
  </si>
  <si>
    <t>PL_ZEWD_1412000878_08</t>
  </si>
  <si>
    <t>32/40</t>
  </si>
  <si>
    <t>PL_ZEWD_1412000873_08</t>
  </si>
  <si>
    <t>PL_ZEWD_1412000893_06</t>
  </si>
  <si>
    <t>Kolejowa</t>
  </si>
  <si>
    <t>PL_ZEWD_1412000870_02</t>
  </si>
  <si>
    <t>Polowa</t>
  </si>
  <si>
    <t>PL_ZEWD_1412000880_01</t>
  </si>
  <si>
    <t xml:space="preserve">Zachodnia </t>
  </si>
  <si>
    <t>PL_ZEWD_1412000860_03</t>
  </si>
  <si>
    <t>PL_ZEWD_1412000894_08</t>
  </si>
  <si>
    <t>PL_ZEWD_1412000901_09</t>
  </si>
  <si>
    <t>PL_ZEWD_1412000889_09</t>
  </si>
  <si>
    <t>Świętokrzyska</t>
  </si>
  <si>
    <t>PL_ZEWD_1412000899_08</t>
  </si>
  <si>
    <t>PL_ZEWD_1412000881_03</t>
  </si>
  <si>
    <t xml:space="preserve">Nowy Świat </t>
  </si>
  <si>
    <t>PL_ZEWD_1412000918_02</t>
  </si>
  <si>
    <t>PL_ZEWD_1412000911_08</t>
  </si>
  <si>
    <t>Jagiellońska</t>
  </si>
  <si>
    <t>PL_ZEWD_1412000835_06</t>
  </si>
  <si>
    <t>Królewiecka betoniarnia</t>
  </si>
  <si>
    <t>PL_ZEWD_1412000928_01</t>
  </si>
  <si>
    <t>PL_ZEWD_1412000857_08</t>
  </si>
  <si>
    <t>Bagnista</t>
  </si>
  <si>
    <t>PL_ZEWD_1412000924_03</t>
  </si>
  <si>
    <t>Boczna</t>
  </si>
  <si>
    <t>PL_ZEWD_1412000874_00</t>
  </si>
  <si>
    <t xml:space="preserve">Boczna </t>
  </si>
  <si>
    <t>PL_ZEWD_1412000892_04</t>
  </si>
  <si>
    <t>Kołowa</t>
  </si>
  <si>
    <t>PL_ZEWD_1412000858_00</t>
  </si>
  <si>
    <t>Warszt. Tech. Budowl.</t>
  </si>
  <si>
    <t>PL_ZEWD_1412000908_03</t>
  </si>
  <si>
    <t>Kościelna</t>
  </si>
  <si>
    <t>PL_ZEWD_1412000898_06</t>
  </si>
  <si>
    <t>Czarnieckiego</t>
  </si>
  <si>
    <t>PL_ZEWD_1412000890_00</t>
  </si>
  <si>
    <t xml:space="preserve">Żwirowa </t>
  </si>
  <si>
    <t>PL_ZEWD_1412000914_04</t>
  </si>
  <si>
    <t>Przemysłowa</t>
  </si>
  <si>
    <t>PL_ZEWD_1412000855_04</t>
  </si>
  <si>
    <t>PL_ZEWD_1412000887_05</t>
  </si>
  <si>
    <t>PL_ZEWD_1412000886_03</t>
  </si>
  <si>
    <t>Warszawska</t>
  </si>
  <si>
    <t>PL_ZEWD_1412000872_06</t>
  </si>
  <si>
    <t>Warszawska /GKO</t>
  </si>
  <si>
    <t>PL_ZEWD_1412000896_02</t>
  </si>
  <si>
    <t>Warszawska / osiedle woj..</t>
  </si>
  <si>
    <t>PL_ZEWD_1412000865_03</t>
  </si>
  <si>
    <t>PL_ZEWD_1412000907_01</t>
  </si>
  <si>
    <t>PL_ZEWD_1412000883_07</t>
  </si>
  <si>
    <t>Armii Krajowej</t>
  </si>
  <si>
    <t>PL_ZEWD_1412000900_07</t>
  </si>
  <si>
    <t xml:space="preserve">Szpitalna </t>
  </si>
  <si>
    <t>PL_ZEWD_1412000921_07</t>
  </si>
  <si>
    <t>1-GO P.L.M "Warszawa"</t>
  </si>
  <si>
    <t>PL_ZEWD_1412000923_01</t>
  </si>
  <si>
    <t>Błonie</t>
  </si>
  <si>
    <t>PL_ZEWD_1412000849_03</t>
  </si>
  <si>
    <t>PL_ZEWD_1412000848_01</t>
  </si>
  <si>
    <t>PL_ZEWD_1412000888_07</t>
  </si>
  <si>
    <t>Obok kościoła Mariawickiego</t>
  </si>
  <si>
    <t>PL_ZEWD_1412000834_04</t>
  </si>
  <si>
    <t>PL_ZEWD_1412000829_05</t>
  </si>
  <si>
    <t>Kościuszki</t>
  </si>
  <si>
    <t>PL_ZEWD_1412000852_08</t>
  </si>
  <si>
    <t>PL_ZEWD_1412001095_03</t>
  </si>
  <si>
    <t>Sosnkowskiego</t>
  </si>
  <si>
    <t>PL_ZEWD_1412000915_06</t>
  </si>
  <si>
    <t>Wiejska</t>
  </si>
  <si>
    <t>PL_ZEWD_1412000846_07</t>
  </si>
  <si>
    <t>PL_ZEWD_1412000904_05</t>
  </si>
  <si>
    <t>PL_ZEWD_1412000851_06</t>
  </si>
  <si>
    <t>05-307</t>
  </si>
  <si>
    <t>PL_ZEWD_1412000919_04</t>
  </si>
  <si>
    <t>Warszawska obok NBP</t>
  </si>
  <si>
    <t>PL_ZEWD_1412000897_04</t>
  </si>
  <si>
    <t>113A</t>
  </si>
  <si>
    <t>PL_ZEWD_1412000917_00</t>
  </si>
  <si>
    <t>PL_ZEWD_1412000864_01</t>
  </si>
  <si>
    <t>Chrościelewskiego</t>
  </si>
  <si>
    <t>PL_ZEWD_1412000838_02</t>
  </si>
  <si>
    <t>PL_ZEWD_1412000927_09</t>
  </si>
  <si>
    <t>Jaśminowa</t>
  </si>
  <si>
    <t>PL_ZEWD_1412000905_07</t>
  </si>
  <si>
    <t>PL_ZEWD_1412000906_09</t>
  </si>
  <si>
    <t>PL_ZEWD_1412000909_05</t>
  </si>
  <si>
    <t>PL_ZEWD_1412000841_07</t>
  </si>
  <si>
    <t>PL_ZEWD_1412000850_04</t>
  </si>
  <si>
    <t>Kresowa</t>
  </si>
  <si>
    <t>PL_ZEWD_1412000842_09</t>
  </si>
  <si>
    <t xml:space="preserve">Kołowa </t>
  </si>
  <si>
    <t>PL_ZEWD_1412000925_05</t>
  </si>
  <si>
    <t>Warszawskie Przedmieście</t>
  </si>
  <si>
    <t>PL_ZEWD_1412000913_02</t>
  </si>
  <si>
    <t>PL_ZEWD_1412000843_01</t>
  </si>
  <si>
    <t>PL_ZEWD_1412000930_04</t>
  </si>
  <si>
    <t>PL_ZEWD_1412000868_09</t>
  </si>
  <si>
    <t>Klonowa</t>
  </si>
  <si>
    <t>PL_ZEWD_1412000929_03</t>
  </si>
  <si>
    <t>Kościuszki obok lotto</t>
  </si>
  <si>
    <t>PL_ZEWD_1412000903_03</t>
  </si>
  <si>
    <t>Dąbrówki</t>
  </si>
  <si>
    <t>PL_ZEWD_1412000827_01</t>
  </si>
  <si>
    <t>Spacerowa</t>
  </si>
  <si>
    <t>PL_ZEWD_1412000876_04</t>
  </si>
  <si>
    <t>PL_ZEWD_1412000832_00</t>
  </si>
  <si>
    <t>wokół dworca pks</t>
  </si>
  <si>
    <t>PL_ZEWD_1412000831_08</t>
  </si>
  <si>
    <t>PL_ZEWD_1412000845_05</t>
  </si>
  <si>
    <t>Monte Cassino</t>
  </si>
  <si>
    <t>PL_ZEWD_1412000863_09</t>
  </si>
  <si>
    <t>Kazikowskiego ośw. Fontanny</t>
  </si>
  <si>
    <t>Miasto Mińsk Mazowiecki</t>
  </si>
  <si>
    <t>05-300 Mińsk Mazowiecki</t>
  </si>
  <si>
    <t>PL_ZEWD_1412000837_00</t>
  </si>
  <si>
    <t>PL_ZEWD_1412000910_06</t>
  </si>
  <si>
    <t>PL_ZEWD_1412000830_06</t>
  </si>
  <si>
    <t>PL_ZEWD_1412000926_07</t>
  </si>
  <si>
    <t>Chabrowa</t>
  </si>
  <si>
    <t>PL_ZEWD_1412000847_09</t>
  </si>
  <si>
    <t>PL_ZEWD_1412000912_00</t>
  </si>
  <si>
    <t>Zgoda</t>
  </si>
  <si>
    <t>Szczecińska</t>
  </si>
  <si>
    <t>PL_ZEWD_1412000895_00</t>
  </si>
  <si>
    <t>PL_ZEWD_1412000920_05</t>
  </si>
  <si>
    <t>Cicha</t>
  </si>
  <si>
    <t>PL_ZEWD_1412000839_04</t>
  </si>
  <si>
    <t>Żwirowa</t>
  </si>
  <si>
    <t>PL_ZEWD_1412000840_05</t>
  </si>
  <si>
    <t>Stary Rynek</t>
  </si>
  <si>
    <t>PL_ZEWD_1412000836_08</t>
  </si>
  <si>
    <t>Królewiec</t>
  </si>
  <si>
    <t>Chmielew</t>
  </si>
  <si>
    <t>Gliniak</t>
  </si>
  <si>
    <t>Cielechowizna</t>
  </si>
  <si>
    <t>Huta Mińska</t>
  </si>
  <si>
    <t>Marianka</t>
  </si>
  <si>
    <t>Grabina</t>
  </si>
  <si>
    <t>Stare Zakole</t>
  </si>
  <si>
    <t>Podrudzie</t>
  </si>
  <si>
    <t>8A</t>
  </si>
  <si>
    <t>Józefów</t>
  </si>
  <si>
    <t>Stojadła</t>
  </si>
  <si>
    <t>Książęca</t>
  </si>
  <si>
    <t>Krótka</t>
  </si>
  <si>
    <t>IV</t>
  </si>
  <si>
    <t>Wiśniowa</t>
  </si>
  <si>
    <t>Zamienie</t>
  </si>
  <si>
    <t>Topolowa</t>
  </si>
  <si>
    <t>Kluki</t>
  </si>
  <si>
    <t>Maliszew</t>
  </si>
  <si>
    <t>Grębiszew</t>
  </si>
  <si>
    <t>Chochół</t>
  </si>
  <si>
    <t>Tartak</t>
  </si>
  <si>
    <t>Iłówiec</t>
  </si>
  <si>
    <t>Barcząca</t>
  </si>
  <si>
    <t>Budy Barcząckie</t>
  </si>
  <si>
    <t>Anielew</t>
  </si>
  <si>
    <t>Targówka</t>
  </si>
  <si>
    <t>Zakole Wiktorowo</t>
  </si>
  <si>
    <t>Janów</t>
  </si>
  <si>
    <t>Budy Janowskie</t>
  </si>
  <si>
    <t>Dziękowizna</t>
  </si>
  <si>
    <t>Kolonia Janów</t>
  </si>
  <si>
    <t>Leśna</t>
  </si>
  <si>
    <t>Ignaców</t>
  </si>
  <si>
    <t>Osiny</t>
  </si>
  <si>
    <t>Nowe Osiny</t>
  </si>
  <si>
    <t>Piękna</t>
  </si>
  <si>
    <t>Św. Józefa</t>
  </si>
  <si>
    <t>56A</t>
  </si>
  <si>
    <t>Słoneczka</t>
  </si>
  <si>
    <t>26A</t>
  </si>
  <si>
    <t>Stara Niedziałka</t>
  </si>
  <si>
    <t>Radość</t>
  </si>
  <si>
    <t>Jesionowa</t>
  </si>
  <si>
    <t>Karolina</t>
  </si>
  <si>
    <t>Miłosza</t>
  </si>
  <si>
    <t>VIII</t>
  </si>
  <si>
    <t>VI</t>
  </si>
  <si>
    <t>Niedziałka Druga</t>
  </si>
  <si>
    <t>Olszowa</t>
  </si>
  <si>
    <t>Wólka Mińska</t>
  </si>
  <si>
    <t>Familijna</t>
  </si>
  <si>
    <t>Arynów</t>
  </si>
  <si>
    <t>Żuków</t>
  </si>
  <si>
    <t>Brzóze</t>
  </si>
  <si>
    <t>Strażacka</t>
  </si>
  <si>
    <t>Ogrodowa</t>
  </si>
  <si>
    <t>Miła</t>
  </si>
  <si>
    <t>Polna</t>
  </si>
  <si>
    <t>Dłużka</t>
  </si>
  <si>
    <t>Gamratka</t>
  </si>
  <si>
    <t>Mikanów</t>
  </si>
  <si>
    <t xml:space="preserve">Droga </t>
  </si>
  <si>
    <t>ul. Chełmońskiego 14</t>
  </si>
  <si>
    <t>114A</t>
  </si>
  <si>
    <t>Gmina Mińsk Mazowiecki</t>
  </si>
  <si>
    <t>Hipolitów</t>
  </si>
  <si>
    <t>Hipolitowska</t>
  </si>
  <si>
    <t>05-074</t>
  </si>
  <si>
    <t>Halinów</t>
  </si>
  <si>
    <t>C12b</t>
  </si>
  <si>
    <t>Michałów II</t>
  </si>
  <si>
    <t>Okuniew/1-go Maja</t>
  </si>
  <si>
    <t>Stanisławowska</t>
  </si>
  <si>
    <t>Pułtuska</t>
  </si>
  <si>
    <t>Rynek</t>
  </si>
  <si>
    <t>Józefin</t>
  </si>
  <si>
    <t>Brzeziny Królewskie</t>
  </si>
  <si>
    <t>Długa Szlachecka</t>
  </si>
  <si>
    <t>Parkowa</t>
  </si>
  <si>
    <t>Północna</t>
  </si>
  <si>
    <t>Powstania Styczniowego (SKR)</t>
  </si>
  <si>
    <t>Bema</t>
  </si>
  <si>
    <t>Piłsudskiego</t>
  </si>
  <si>
    <t>Okuniewska/Mickiewicza</t>
  </si>
  <si>
    <t>Budziska</t>
  </si>
  <si>
    <t>Partyzancka</t>
  </si>
  <si>
    <t>Długa Kościelna</t>
  </si>
  <si>
    <t>Mrowiska</t>
  </si>
  <si>
    <t>Kazimierów</t>
  </si>
  <si>
    <t>Krzewina</t>
  </si>
  <si>
    <t>Desno</t>
  </si>
  <si>
    <t>Mrowiska Duże</t>
  </si>
  <si>
    <t>Chobot</t>
  </si>
  <si>
    <t>Wielgolas Brzeziński</t>
  </si>
  <si>
    <t>Chrobrego</t>
  </si>
  <si>
    <t>Cisie</t>
  </si>
  <si>
    <t>Cisie II</t>
  </si>
  <si>
    <t>Konik Nowy</t>
  </si>
  <si>
    <t>Czereśniowa</t>
  </si>
  <si>
    <t>Banachowska</t>
  </si>
  <si>
    <t>Południowa</t>
  </si>
  <si>
    <t>Wielgolas Duchnowski</t>
  </si>
  <si>
    <t>Zagórze</t>
  </si>
  <si>
    <t>Brzeziny</t>
  </si>
  <si>
    <t>Zacisze</t>
  </si>
  <si>
    <t>05-079</t>
  </si>
  <si>
    <t>Okuniew</t>
  </si>
  <si>
    <t>Żelazna</t>
  </si>
  <si>
    <t>Michałów</t>
  </si>
  <si>
    <t>dz.18</t>
  </si>
  <si>
    <t>Baśniowa</t>
  </si>
  <si>
    <t>Skrajna</t>
  </si>
  <si>
    <t>Zgody</t>
  </si>
  <si>
    <t>dz.52</t>
  </si>
  <si>
    <t>Modrzewiowa</t>
  </si>
  <si>
    <t>Wrzosowa</t>
  </si>
  <si>
    <t xml:space="preserve">Grabina </t>
  </si>
  <si>
    <t>Jagiełły</t>
  </si>
  <si>
    <t>Gmina Halinów</t>
  </si>
  <si>
    <t>05-074 Halinów</t>
  </si>
  <si>
    <t>Oświet. uliczne</t>
  </si>
  <si>
    <t>Dębe Wielkie</t>
  </si>
  <si>
    <t>Prądzyńskiego</t>
  </si>
  <si>
    <t>05-311</t>
  </si>
  <si>
    <t>PL_ZEWD_1412000594_04</t>
  </si>
  <si>
    <t>Kobierne</t>
  </si>
  <si>
    <t>PL_ZEWD_1412000593_02</t>
  </si>
  <si>
    <t>Alejowa</t>
  </si>
  <si>
    <t>PL_ZEWD_1412000591_08</t>
  </si>
  <si>
    <t>PL_ZEWD_1412000590_06</t>
  </si>
  <si>
    <t>PL_ZEWD_1412000587_01</t>
  </si>
  <si>
    <t>PL_ZEWD_1412000589_05</t>
  </si>
  <si>
    <t>PL_ZEWD_1412000586_09</t>
  </si>
  <si>
    <t>Pedagogów</t>
  </si>
  <si>
    <t>PL_ZEWD_1412000585_07</t>
  </si>
  <si>
    <t>Batalionu Parasol</t>
  </si>
  <si>
    <t>PL_ZEWD_1412000588_03</t>
  </si>
  <si>
    <t xml:space="preserve">Armii Krajowej </t>
  </si>
  <si>
    <t>PL_ZEWD_1412000627_05</t>
  </si>
  <si>
    <t>Aleksandrówka</t>
  </si>
  <si>
    <t>PL_ZEWD_1412000624_09</t>
  </si>
  <si>
    <t>Bykowizna</t>
  </si>
  <si>
    <t>PL_ZEWD_1412000625_01</t>
  </si>
  <si>
    <t>Ruda</t>
  </si>
  <si>
    <t>PL_ZEWD_1412000628_07</t>
  </si>
  <si>
    <t>Chrośla</t>
  </si>
  <si>
    <t>PL_ZEWD_1412000623_07</t>
  </si>
  <si>
    <t>PL_ZEWD_1412000622_05</t>
  </si>
  <si>
    <t>Kwiatowa</t>
  </si>
  <si>
    <t>PL_ZEWD_1412000631_02</t>
  </si>
  <si>
    <t>PL_ZEWD_1412000634_08</t>
  </si>
  <si>
    <t>PL_ZEWD_1412000621_03</t>
  </si>
  <si>
    <t>PL_ZEWD_1412000620_01</t>
  </si>
  <si>
    <t>PL_ZEWD_1412000617_06</t>
  </si>
  <si>
    <t>PL_ZEWD_1412000619_00</t>
  </si>
  <si>
    <t>PL_ZEWD_1412000618_08</t>
  </si>
  <si>
    <t>Górki</t>
  </si>
  <si>
    <t>PL_ZEWD_1412000616_04</t>
  </si>
  <si>
    <t>PL_ZEWD_1412000645_09</t>
  </si>
  <si>
    <t>PL_ZEWD_1412000652_02</t>
  </si>
  <si>
    <t>PL_ZEWD_1412000655_08</t>
  </si>
  <si>
    <t>Cięciwa</t>
  </si>
  <si>
    <t>PL_ZEWD_1412000640_09</t>
  </si>
  <si>
    <t>PL_ZEWD_1412000651_00</t>
  </si>
  <si>
    <t>Powstańców</t>
  </si>
  <si>
    <t>PL_ZEWD_1412000649_07</t>
  </si>
  <si>
    <t>PL_ZEWD_1412000646_01</t>
  </si>
  <si>
    <t>Olesin</t>
  </si>
  <si>
    <t>PL_ZEWD_1412000644_07</t>
  </si>
  <si>
    <t>PL_ZEWD_1412000641_01</t>
  </si>
  <si>
    <t>PL_ZEWD_1412000656_00</t>
  </si>
  <si>
    <t>PL_ZEWD_1412000647_03</t>
  </si>
  <si>
    <t>PL_ZEWD_1412000643_05</t>
  </si>
  <si>
    <t>PL_ZEWD_1412000636_02</t>
  </si>
  <si>
    <t>Rysie</t>
  </si>
  <si>
    <t>PL_ZEWD_1412000648_05</t>
  </si>
  <si>
    <t>Walercin</t>
  </si>
  <si>
    <t>PL_ZEWD_1412000612_06</t>
  </si>
  <si>
    <t>PL_ZEWD_1412000677_00</t>
  </si>
  <si>
    <t>PL_ZEWD_1412000676_08</t>
  </si>
  <si>
    <t>Jędrzejnik</t>
  </si>
  <si>
    <t>PL_ZEWD_1412000675_06</t>
  </si>
  <si>
    <t>Celinów</t>
  </si>
  <si>
    <t>PL_ZEWD_1412000674_04</t>
  </si>
  <si>
    <t>PL_ZEWD_1412000673_02</t>
  </si>
  <si>
    <t>PL_ZEWD_1412000672_00</t>
  </si>
  <si>
    <t>Cyganka</t>
  </si>
  <si>
    <t>PL_ZEWD_1412000671_08</t>
  </si>
  <si>
    <t>PL_ZEWD_1412000670_06</t>
  </si>
  <si>
    <t>PL_ZEWD_1412000669_05</t>
  </si>
  <si>
    <t>PL_ZEWD_1412000668_03</t>
  </si>
  <si>
    <t>Braci Tabiszewskich</t>
  </si>
  <si>
    <t>PL_ZEWD_1412000667_01</t>
  </si>
  <si>
    <t>PL_ZEWD_1412000666_09</t>
  </si>
  <si>
    <t>PL_ZEWD_1412000665_07</t>
  </si>
  <si>
    <t>Brzozowa</t>
  </si>
  <si>
    <t>PL_ZEWD_1412000664_05</t>
  </si>
  <si>
    <t>Teresław</t>
  </si>
  <si>
    <t>PL_ZEWD_1412000663_03</t>
  </si>
  <si>
    <t>PL_ZEWD_1412000662_01</t>
  </si>
  <si>
    <t>PL_ZEWD_1412000579_06</t>
  </si>
  <si>
    <t>PL_ZEWD_1412000580_07</t>
  </si>
  <si>
    <t>Cezarów</t>
  </si>
  <si>
    <t>PL_ZEWD_1412000661_09</t>
  </si>
  <si>
    <t>PL_ZEWD_1412000632_04</t>
  </si>
  <si>
    <t>PL_ZEWD_1412000657_02</t>
  </si>
  <si>
    <t>PL_ZEWD_1412001260_02</t>
  </si>
  <si>
    <t>PL_ZEWD_1412001263_08</t>
  </si>
  <si>
    <t>Pałacowa</t>
  </si>
  <si>
    <t>PL_ZEWD_1412001262_06</t>
  </si>
  <si>
    <t>PL_ZEWD_1412001259_01</t>
  </si>
  <si>
    <t>Szklarniowa</t>
  </si>
  <si>
    <t>PL_ZEWD_1412001261_04</t>
  </si>
  <si>
    <t>PL_ZEWD_1412001374_07</t>
  </si>
  <si>
    <t>PL_ZEWD_1412001372_03</t>
  </si>
  <si>
    <t>PL_ZEWD_1412001128_04</t>
  </si>
  <si>
    <t>Staropolska</t>
  </si>
  <si>
    <t>PL_ZEWD_1412001104_08</t>
  </si>
  <si>
    <t>Gmina Dębe Wielkie</t>
  </si>
  <si>
    <t>Ul. Strażacka 3</t>
  </si>
  <si>
    <t>05-311 Dębe Wielkie</t>
  </si>
  <si>
    <t>05-332</t>
  </si>
  <si>
    <t>Siennica</t>
  </si>
  <si>
    <t>PL_ZEWD_1412000120_01</t>
  </si>
  <si>
    <t>Zalesie</t>
  </si>
  <si>
    <t>PL_ZEWD_1412000121_03</t>
  </si>
  <si>
    <t>Łękawica</t>
  </si>
  <si>
    <t>PL_ZEWD_1412000122_05</t>
  </si>
  <si>
    <t>Nowodwór</t>
  </si>
  <si>
    <t>PL_ZEWD_1412000123_07</t>
  </si>
  <si>
    <t>Kośminy</t>
  </si>
  <si>
    <t>PL_ZEWD_1412000124_09</t>
  </si>
  <si>
    <t>Gągolina</t>
  </si>
  <si>
    <t>PL_ZEWD_1412000125_01</t>
  </si>
  <si>
    <t xml:space="preserve">Strażacka </t>
  </si>
  <si>
    <t>PL_ZEWD_1412000127_05</t>
  </si>
  <si>
    <t>PL_ZEWD_1412000128_07</t>
  </si>
  <si>
    <t xml:space="preserve">Kołbielska </t>
  </si>
  <si>
    <t>PL_ZEWD_1412000129_09</t>
  </si>
  <si>
    <t>PL_ZEWD_1412000130_00</t>
  </si>
  <si>
    <t xml:space="preserve">Mińska </t>
  </si>
  <si>
    <t>PL_ZEWD_1412000131_02</t>
  </si>
  <si>
    <t>PL_ZEWD_1412000132_04</t>
  </si>
  <si>
    <t xml:space="preserve">Akacjowa </t>
  </si>
  <si>
    <t>PL_ZEWD_1412000133_06</t>
  </si>
  <si>
    <t>Nowa</t>
  </si>
  <si>
    <t>PL_ZEWD_1412000134_08</t>
  </si>
  <si>
    <t>PL_ZEWD_1412000135_00</t>
  </si>
  <si>
    <t>PL_ZEWD_1412000136_02</t>
  </si>
  <si>
    <t>PL_ZEWD_1412000137_04</t>
  </si>
  <si>
    <t>Strugi Krzywickie</t>
  </si>
  <si>
    <t>PL_ZEWD_1412000138_06</t>
  </si>
  <si>
    <t>Krzywica</t>
  </si>
  <si>
    <t>PL_ZEWD_1412000139_08</t>
  </si>
  <si>
    <t>PL_ZEWD_1412000140_09</t>
  </si>
  <si>
    <t>Wojciechówka</t>
  </si>
  <si>
    <t>PL_ZEWD_1412000141_01</t>
  </si>
  <si>
    <t>Nowy Zglechów</t>
  </si>
  <si>
    <t>PL_ZEWD_1412000142_03</t>
  </si>
  <si>
    <t>Nowa Pogorzel</t>
  </si>
  <si>
    <t>PL_ZEWD_1412000143_05</t>
  </si>
  <si>
    <t>PL_ZEWD_1412000144_07</t>
  </si>
  <si>
    <t>Wólka Dłużewska</t>
  </si>
  <si>
    <t>PL_ZEWD_1412000145_09</t>
  </si>
  <si>
    <t>Swoboda</t>
  </si>
  <si>
    <t>PL_ZEWD_1412000147_03</t>
  </si>
  <si>
    <t>Pogorzel</t>
  </si>
  <si>
    <t>PL_ZEWD_1412000148_05</t>
  </si>
  <si>
    <t>Julianów</t>
  </si>
  <si>
    <t>PL_ZEWD_1412000149_07</t>
  </si>
  <si>
    <t>Borówek</t>
  </si>
  <si>
    <t>Chełst</t>
  </si>
  <si>
    <t>PL_ZEWD_1412000151_00</t>
  </si>
  <si>
    <t>Grzebowilk II</t>
  </si>
  <si>
    <t>PL_ZEWD_1412000152_02</t>
  </si>
  <si>
    <t>Grzebowilk IV</t>
  </si>
  <si>
    <t>PL_ZEWD_1412000153_04</t>
  </si>
  <si>
    <t>Grzebowilk III</t>
  </si>
  <si>
    <t>PL_ZEWD_1412000154_06</t>
  </si>
  <si>
    <t xml:space="preserve">Nowa Pogorzel </t>
  </si>
  <si>
    <t>PL_ZEWD_1412000544_09</t>
  </si>
  <si>
    <t>Siodło</t>
  </si>
  <si>
    <t>PL_ZEWD_1412000155_08</t>
  </si>
  <si>
    <t>PL_ZEWD_1412000156_00</t>
  </si>
  <si>
    <t>Zglechów</t>
  </si>
  <si>
    <t>PL_ZEWD_1412000157_02</t>
  </si>
  <si>
    <t xml:space="preserve">Bestwiny </t>
  </si>
  <si>
    <t>PL_ZEWD_1412000159_06</t>
  </si>
  <si>
    <t>Drożdżówka</t>
  </si>
  <si>
    <t>PL_ZEWD_1412000160_07</t>
  </si>
  <si>
    <t>Dzielnik</t>
  </si>
  <si>
    <t>PL_ZEWD_1412000161_09</t>
  </si>
  <si>
    <t xml:space="preserve">Dzielnik </t>
  </si>
  <si>
    <t>PL_ZEWD_1412000162_01</t>
  </si>
  <si>
    <t>Nowodzielnik</t>
  </si>
  <si>
    <t>PL_ZEWD_1412000163_03</t>
  </si>
  <si>
    <t>PL_ZEWD_1412000164_05</t>
  </si>
  <si>
    <t>PL_ZEWD_1412000165_07</t>
  </si>
  <si>
    <t>Dłużew</t>
  </si>
  <si>
    <t>PL_ZEWD_1412000166_09</t>
  </si>
  <si>
    <t>Majdan</t>
  </si>
  <si>
    <t>PL_ZEWD_1412000167_01</t>
  </si>
  <si>
    <t>Kulki</t>
  </si>
  <si>
    <t>PL_ZEWD_1412000168_03</t>
  </si>
  <si>
    <t>Ptaki</t>
  </si>
  <si>
    <t>PL_ZEWD_1412000169_05</t>
  </si>
  <si>
    <t>PL_ZEWD_1412000170_06</t>
  </si>
  <si>
    <t xml:space="preserve">Kąty </t>
  </si>
  <si>
    <t>PL_ZEWD_1412000171_08</t>
  </si>
  <si>
    <t>Starogród</t>
  </si>
  <si>
    <t>PL_ZEWD_1412000172_00</t>
  </si>
  <si>
    <t>PL_ZEWD_1412000173_02</t>
  </si>
  <si>
    <t>PL_ZEWD_1412000175_06</t>
  </si>
  <si>
    <t>Nowy Starogród</t>
  </si>
  <si>
    <t>PL_ZEWD_1412000176_08</t>
  </si>
  <si>
    <t>Świętochy</t>
  </si>
  <si>
    <t>PL_ZEWD_1412000179_04</t>
  </si>
  <si>
    <t>PL_ZEWD_1412000180_05</t>
  </si>
  <si>
    <t>Bestwiny</t>
  </si>
  <si>
    <t>PL_ZEWD_1412000181_07</t>
  </si>
  <si>
    <t>PL_ZEWD_1412000182_09</t>
  </si>
  <si>
    <t>PL_ZEWD_1412000183_01</t>
  </si>
  <si>
    <t>PL_ZEWD_1412000184_03</t>
  </si>
  <si>
    <t>PL_ZEWD_1412000185_05</t>
  </si>
  <si>
    <t>Żaków</t>
  </si>
  <si>
    <t>PL_ZEWD_1412000186_07</t>
  </si>
  <si>
    <t>PL_ZEWD_1412000187_09</t>
  </si>
  <si>
    <t>PL_ZEWD_1412000178_02</t>
  </si>
  <si>
    <t>PL_ZEWD_1412000177_00</t>
  </si>
  <si>
    <t>PL_ZEWD_1412000174_04</t>
  </si>
  <si>
    <t>Boża Wola</t>
  </si>
  <si>
    <t>PL_ZEWD_1412000146_01</t>
  </si>
  <si>
    <t>Starogród III</t>
  </si>
  <si>
    <t>PL_ZEWD_1412000188_01</t>
  </si>
  <si>
    <t>PL_ZEWD_1412000189_03</t>
  </si>
  <si>
    <t>ul. Kołbielska 1</t>
  </si>
  <si>
    <t>05-332 Siennica</t>
  </si>
  <si>
    <t>Stawek</t>
  </si>
  <si>
    <t>PL_ZEWD_1412000685_05</t>
  </si>
  <si>
    <t>Kamionka</t>
  </si>
  <si>
    <t>05-334</t>
  </si>
  <si>
    <t>Latowicz</t>
  </si>
  <si>
    <t>PL_ZEWD_1412000681_07</t>
  </si>
  <si>
    <t>Waliska</t>
  </si>
  <si>
    <t>PL_ZEWD_1412000701_03</t>
  </si>
  <si>
    <t>Wężyczyn</t>
  </si>
  <si>
    <t>PL_ZEWD_1412000695_04</t>
  </si>
  <si>
    <t>PL_ZEWD_1412000697_08</t>
  </si>
  <si>
    <t>PL_ZEWD_1412000688_01</t>
  </si>
  <si>
    <t>PL_ZEWD_1412000707_05</t>
  </si>
  <si>
    <t>PL_ZEWD_1412000698_00</t>
  </si>
  <si>
    <t>PL_ZEWD_1412000696_06</t>
  </si>
  <si>
    <t>PL_ZEWD_1412000682_09</t>
  </si>
  <si>
    <t>Chyżyny</t>
  </si>
  <si>
    <t>PL_ZEWD_1412000776_06</t>
  </si>
  <si>
    <t>PL_ZEWD_1412000775_04</t>
  </si>
  <si>
    <t>PL_ZEWD_1412000699_02</t>
  </si>
  <si>
    <t>PL_ZEWD_1412000774_02</t>
  </si>
  <si>
    <t>Gołełąki</t>
  </si>
  <si>
    <t>PL_ZEWD_1412000704_09</t>
  </si>
  <si>
    <t>PL_ZEWD_1412000700_01</t>
  </si>
  <si>
    <t>PL_ZEWD_1412000703_07</t>
  </si>
  <si>
    <t>PL_ZEWD_1412000684_03</t>
  </si>
  <si>
    <t>Latowicz-Rozstanki</t>
  </si>
  <si>
    <t>PL_ZEWD_1412000773_00</t>
  </si>
  <si>
    <t>Senatorska</t>
  </si>
  <si>
    <t>PL_ZEWD_1412000772_08</t>
  </si>
  <si>
    <t>Św. Ducha</t>
  </si>
  <si>
    <t>PL_ZEWD_1412000771_06</t>
  </si>
  <si>
    <t>Grundowa</t>
  </si>
  <si>
    <t>PL_ZEWD_1412000770_04</t>
  </si>
  <si>
    <t>PL_ZEWD_1412000711_02</t>
  </si>
  <si>
    <t>Latowicz-Wymyśle</t>
  </si>
  <si>
    <t>PL_ZEWD_1412000769_03</t>
  </si>
  <si>
    <t>Dąbrówka</t>
  </si>
  <si>
    <t>PL_ZEWD_1412000768_01</t>
  </si>
  <si>
    <t>II</t>
  </si>
  <si>
    <t>PL_ZEWD_1412000767_09</t>
  </si>
  <si>
    <t>PL_ZEWD_1412000712_04</t>
  </si>
  <si>
    <t>PL_ZEWD_1412000715_00</t>
  </si>
  <si>
    <t>PL_ZEWD_1412000714_08</t>
  </si>
  <si>
    <t>Oleksianka</t>
  </si>
  <si>
    <t>PL_ZEWD_1412000766_07</t>
  </si>
  <si>
    <t>PL_ZEWD_1412000764_03</t>
  </si>
  <si>
    <t>PL_ZEWD_1412000762_09</t>
  </si>
  <si>
    <t>PL_ZEWD_1412000760_05</t>
  </si>
  <si>
    <t>PL_ZEWD_1412000765_05</t>
  </si>
  <si>
    <t>PL_ZEWD_1412000718_06</t>
  </si>
  <si>
    <t>Redzyńskie</t>
  </si>
  <si>
    <t>PL_ZEWD_1412000717_04</t>
  </si>
  <si>
    <t>PL_ZEWD_1412000761_07</t>
  </si>
  <si>
    <t>Generałowo</t>
  </si>
  <si>
    <t>PL_ZEWD_1412000755_06</t>
  </si>
  <si>
    <t>Strachomin</t>
  </si>
  <si>
    <t>PL_ZEWD_1412000763_01</t>
  </si>
  <si>
    <t>PL_ZEWD_1412000716_02</t>
  </si>
  <si>
    <t>Transbór</t>
  </si>
  <si>
    <t>PL_ZEWD_1412000759_04</t>
  </si>
  <si>
    <t>PL_ZEWD_1412000758_02</t>
  </si>
  <si>
    <t>PL_ZEWD_1412000757_00</t>
  </si>
  <si>
    <t>Wielgolas</t>
  </si>
  <si>
    <t>PL_ZEWD_1412000756_08</t>
  </si>
  <si>
    <t>PL_ZEWD_1412000754_04</t>
  </si>
  <si>
    <t>PL_ZEWD_1412000749_05</t>
  </si>
  <si>
    <t>PL_ZEWD_1412000750_06</t>
  </si>
  <si>
    <t>PL_ZEWD_1412000748_03</t>
  </si>
  <si>
    <t>PL_ZEWD_1412000751_08</t>
  </si>
  <si>
    <t>PL_ZEWD_1412000752_00</t>
  </si>
  <si>
    <t>Gmina Latowicz</t>
  </si>
  <si>
    <t>Ul. Rynek 6</t>
  </si>
  <si>
    <t>Podskwarne</t>
  </si>
  <si>
    <t>05-319</t>
  </si>
  <si>
    <t>Cegłów</t>
  </si>
  <si>
    <t>49A</t>
  </si>
  <si>
    <t>Podciernie I</t>
  </si>
  <si>
    <t>Podciernie II</t>
  </si>
  <si>
    <t>Posiadały</t>
  </si>
  <si>
    <t>Piaseczno I</t>
  </si>
  <si>
    <t>Piaseczno II</t>
  </si>
  <si>
    <t>Piaseczno</t>
  </si>
  <si>
    <t>Piaseczno III</t>
  </si>
  <si>
    <t>Skupie</t>
  </si>
  <si>
    <t>Wola Stanisławowska</t>
  </si>
  <si>
    <t>Dobrzyckiego Henryka</t>
  </si>
  <si>
    <t>Wólka Wiciejowska</t>
  </si>
  <si>
    <t>Mienia I</t>
  </si>
  <si>
    <t>Mienia</t>
  </si>
  <si>
    <t>Mienia II</t>
  </si>
  <si>
    <t>Mienia III</t>
  </si>
  <si>
    <t>Mienia IV</t>
  </si>
  <si>
    <t>Pełczanka I</t>
  </si>
  <si>
    <t>Pełczanka II</t>
  </si>
  <si>
    <t>Pełczanka III</t>
  </si>
  <si>
    <t>Mienia V</t>
  </si>
  <si>
    <t>Mienia VI</t>
  </si>
  <si>
    <t>Rososz</t>
  </si>
  <si>
    <t>Skwarne</t>
  </si>
  <si>
    <t>Woźbin</t>
  </si>
  <si>
    <t>Wiciejów I</t>
  </si>
  <si>
    <t>Wiciejów II</t>
  </si>
  <si>
    <t>Rudnik</t>
  </si>
  <si>
    <t>Tyborów</t>
  </si>
  <si>
    <t>05-319 Cegłów</t>
  </si>
  <si>
    <t>Numer licznika</t>
  </si>
  <si>
    <t>P</t>
  </si>
  <si>
    <t>Pełczanka</t>
  </si>
  <si>
    <t>Ośw. Ulicz.</t>
  </si>
  <si>
    <t>Sulejówek</t>
  </si>
  <si>
    <t>Kleeberga Franciszka</t>
  </si>
  <si>
    <t>05-070</t>
  </si>
  <si>
    <t>Czynu społecznego/Przejazd</t>
  </si>
  <si>
    <t>Drobiarska</t>
  </si>
  <si>
    <t>Kopernika Mikołaja/Słowackiego</t>
  </si>
  <si>
    <t>Paderewskiego Ignacego/Szczecińska</t>
  </si>
  <si>
    <t>Szosowa/Przybysz.</t>
  </si>
  <si>
    <t>Głowackiego Bartosza</t>
  </si>
  <si>
    <t>Kraszewskiego Ignacego</t>
  </si>
  <si>
    <t>Miedziana/Chopina</t>
  </si>
  <si>
    <t>Głowackiego Bartosza/Niemojews.</t>
  </si>
  <si>
    <t>Głowackiego Bartosza/Świętoch.</t>
  </si>
  <si>
    <t>Głowackiego Bartosza/ Orzeszk.</t>
  </si>
  <si>
    <t>Krakowska Wrocł.</t>
  </si>
  <si>
    <t>Przybyszewska/3-go Maja</t>
  </si>
  <si>
    <t>Tuwima A. Krajowej</t>
  </si>
  <si>
    <t>Cieplaka Niemojew.</t>
  </si>
  <si>
    <t>Armii Krajowej/Rejtana</t>
  </si>
  <si>
    <t>Świętochowskiego A. Łukas.</t>
  </si>
  <si>
    <t>Dąbrowskiego Jarosława/Sejmowa</t>
  </si>
  <si>
    <t>Świętochowskiego A./Mińska</t>
  </si>
  <si>
    <t>3-go Maja/Baryłki</t>
  </si>
  <si>
    <t>Słowackiego Juliusza/Wąska</t>
  </si>
  <si>
    <t>Armii Krajowej/Żelazna</t>
  </si>
  <si>
    <t>Przybyszewskiego St./Tetmajera</t>
  </si>
  <si>
    <t>Armii Krajowej/Klonowej</t>
  </si>
  <si>
    <t>Chopina Fryderyka/Stalowa</t>
  </si>
  <si>
    <t>Lubelska/Sienkiewicza</t>
  </si>
  <si>
    <t>Czynu Społecznego</t>
  </si>
  <si>
    <t>Dworcowa/Żeromskiego</t>
  </si>
  <si>
    <t>Idzikowskiego Ludwika</t>
  </si>
  <si>
    <t>Starych Dębów</t>
  </si>
  <si>
    <t>Reymonta Wł. St.</t>
  </si>
  <si>
    <t>Paderewskiego Ignacego/Krasick.</t>
  </si>
  <si>
    <t>Sobieskiego/Krasickiego</t>
  </si>
  <si>
    <t>Grabskiego Stanisława/ 11 Listopada</t>
  </si>
  <si>
    <t>Reymonta Wł. St./ Dąbrówki</t>
  </si>
  <si>
    <t>Dworcowa/Kościuszki</t>
  </si>
  <si>
    <t>Piękna Paderewsk.</t>
  </si>
  <si>
    <t>Kombatantów/Piłsudskiego</t>
  </si>
  <si>
    <t>Wiejska/Dębowa</t>
  </si>
  <si>
    <t>Reymonta Wł. St./Wrońsk.</t>
  </si>
  <si>
    <t>Kombatantów Ogińskiego</t>
  </si>
  <si>
    <t>Kombatantów/Gdańska</t>
  </si>
  <si>
    <t>Reymonta Wł. St./Gdańska</t>
  </si>
  <si>
    <t>Reymonta Wł. St./Poniat.</t>
  </si>
  <si>
    <t>Reymonta Wł. St./Niemcew.</t>
  </si>
  <si>
    <t>Kombatantów/Niemcew.</t>
  </si>
  <si>
    <t>Paderewskiego Ignacego/Orla</t>
  </si>
  <si>
    <t>Paderewskiego Ignacego/Swiętoj.</t>
  </si>
  <si>
    <t>Reja /Poprzeczna</t>
  </si>
  <si>
    <t>Krakowska/Wilsona</t>
  </si>
  <si>
    <t>Kraszewskiego Ignacego/Koszal.</t>
  </si>
  <si>
    <t>Żeromskiego Stefana Son 2</t>
  </si>
  <si>
    <t>Legionów/11 Listop</t>
  </si>
  <si>
    <t>Sienkiewicza Henryka/11 Listop</t>
  </si>
  <si>
    <t>1 Armii Wojska Polskiego/11 Listop</t>
  </si>
  <si>
    <t>Marczewskiego Jędrzeja/Orla</t>
  </si>
  <si>
    <t>11-go Listopada/Puszkina</t>
  </si>
  <si>
    <t>Puszkina Aleksandra/Grottgera</t>
  </si>
  <si>
    <t>Wspólna R Orlej</t>
  </si>
  <si>
    <t>Poprzeczna/Poniatows</t>
  </si>
  <si>
    <t>Reja Mikołaja/Okuniewsk</t>
  </si>
  <si>
    <t>Kasprowicza Jana/Piaskowa</t>
  </si>
  <si>
    <t>Sobieskiego Jana III</t>
  </si>
  <si>
    <t>Sobieskiego Jana III/Okulick</t>
  </si>
  <si>
    <t>Paderewsk./Okulick</t>
  </si>
  <si>
    <t>Żeromskiego Stefana/Bogusławs</t>
  </si>
  <si>
    <t>11-go Listopada/Kościuszki</t>
  </si>
  <si>
    <t>Żeromskiego Stefana/Moniuszki</t>
  </si>
  <si>
    <t>Kolbe Maksymiliana</t>
  </si>
  <si>
    <t>Krasickiego Janka/Prusa</t>
  </si>
  <si>
    <t>Długa/Jagodowa</t>
  </si>
  <si>
    <t>Sobiesk./Nowotki</t>
  </si>
  <si>
    <t>11-go Listopada/Żurawska</t>
  </si>
  <si>
    <t>Harcerska Kaspr.</t>
  </si>
  <si>
    <t>Legionów</t>
  </si>
  <si>
    <t>Mieszka I/Idzikowsk</t>
  </si>
  <si>
    <t>Piłsudskiego Józefa/Mariańska</t>
  </si>
  <si>
    <t>Piłsudskiego Józefa/Idzikowsk</t>
  </si>
  <si>
    <t>Przejazd/Kolejowa/Okrzei</t>
  </si>
  <si>
    <t>Krzywa/Ratajewo</t>
  </si>
  <si>
    <t>Miłosna-P.K.P. Okrzei</t>
  </si>
  <si>
    <t>Wiejska/Okuniews</t>
  </si>
  <si>
    <t>Przejazdowa R Berlinga</t>
  </si>
  <si>
    <t>Kraszewskiego Ignacego/Zamojska</t>
  </si>
  <si>
    <t>Dąbrowskiego Jarosława/Szosowa</t>
  </si>
  <si>
    <t>Drobiarska/Miodowa</t>
  </si>
  <si>
    <t>Stażyńskiego Stefana vis a vis nr.39</t>
  </si>
  <si>
    <t>Rataja Macieja przy 2A</t>
  </si>
  <si>
    <t>Asfaltowa St.0187</t>
  </si>
  <si>
    <t>Paderewskiego Ignacego</t>
  </si>
  <si>
    <t>Okuniewska</t>
  </si>
  <si>
    <t>Oświetlenie Uliczne</t>
  </si>
  <si>
    <t>Wólka Mlęcka</t>
  </si>
  <si>
    <t>Dobre</t>
  </si>
  <si>
    <t>PL_ZEWD_1412000264_03</t>
  </si>
  <si>
    <t>Gęsianka</t>
  </si>
  <si>
    <t>PL_ZEWD_1412000265_05</t>
  </si>
  <si>
    <t>PL_ZEWD_1412000266_07</t>
  </si>
  <si>
    <t>Mlęcin</t>
  </si>
  <si>
    <t>PL_ZEWD_1412000267_09</t>
  </si>
  <si>
    <t>PL_ZEWD_1412000269_03</t>
  </si>
  <si>
    <t>PL_ZEWD_1412000270_04</t>
  </si>
  <si>
    <t>Walentów</t>
  </si>
  <si>
    <t>PL_ZEWD_1412000303_05</t>
  </si>
  <si>
    <t>PL_ZEWD_1412000304_07</t>
  </si>
  <si>
    <t>Nowa Wieś</t>
  </si>
  <si>
    <t>PL_ZEWD_1412000305_09</t>
  </si>
  <si>
    <t>Marcelin</t>
  </si>
  <si>
    <t>PL_ZEWD_1412000306_01</t>
  </si>
  <si>
    <t>Świdrów</t>
  </si>
  <si>
    <t>PL_ZEWD_1412000307_03</t>
  </si>
  <si>
    <t>PL_ZEWD_1412000309_07</t>
  </si>
  <si>
    <t>PL_ZEWD_1412000310_08</t>
  </si>
  <si>
    <t>Zdrojówki</t>
  </si>
  <si>
    <t>PL_ZEWD_1412000312_02</t>
  </si>
  <si>
    <t>Poręby Nowe</t>
  </si>
  <si>
    <t>PL_ZEWD_1412000313_04</t>
  </si>
  <si>
    <t>PL_ZEWD_1412000314_06</t>
  </si>
  <si>
    <t>III</t>
  </si>
  <si>
    <t>PL_ZEWD_1412000315_08</t>
  </si>
  <si>
    <t>PL_ZEWD_1412000316_00</t>
  </si>
  <si>
    <t>Drop</t>
  </si>
  <si>
    <t>PL_ZEWD_1412000317_02</t>
  </si>
  <si>
    <t>Modecin</t>
  </si>
  <si>
    <t>PL_ZEWD_1412000319_06</t>
  </si>
  <si>
    <t>Rynia</t>
  </si>
  <si>
    <t>PL_ZEWD_1412000321_09</t>
  </si>
  <si>
    <t>PL_ZEWD_1412000262_09</t>
  </si>
  <si>
    <t>PL_ZEWD_1412000263_01</t>
  </si>
  <si>
    <t>PL_ZEWD_1412000323_03</t>
  </si>
  <si>
    <t>Sołki</t>
  </si>
  <si>
    <t>PL_ZEWD_1412000325_07</t>
  </si>
  <si>
    <t>Radoszyna</t>
  </si>
  <si>
    <t>PL_ZEWD_1412000327_01</t>
  </si>
  <si>
    <t>Wólka Kokosia</t>
  </si>
  <si>
    <t>PL_ZEWD_1412000328_03</t>
  </si>
  <si>
    <t>PL_ZEWD_1412000329_05</t>
  </si>
  <si>
    <t>Wólka Kobylańska</t>
  </si>
  <si>
    <t>PL_ZEWD_1412000330_06</t>
  </si>
  <si>
    <t>Joanin</t>
  </si>
  <si>
    <t>PL_ZEWD_1412000331_08</t>
  </si>
  <si>
    <t>PL_ZEWD_1412000332_00</t>
  </si>
  <si>
    <t>PL_ZEWD_1412000333_02</t>
  </si>
  <si>
    <t>Rudno</t>
  </si>
  <si>
    <t>PL_ZEWD_1412000334_04</t>
  </si>
  <si>
    <t>PL_ZEWD_1412000335_06</t>
  </si>
  <si>
    <t>PL_ZEWD_1412000336_08</t>
  </si>
  <si>
    <t>Duchów</t>
  </si>
  <si>
    <t>PL_ZEWD_1412000337_00</t>
  </si>
  <si>
    <t>Osęczyzna</t>
  </si>
  <si>
    <t>PL_ZEWD_1412000338_02</t>
  </si>
  <si>
    <t>Poręby Stare</t>
  </si>
  <si>
    <t>PL_ZEWD_1412000339_04</t>
  </si>
  <si>
    <t>PL_ZEWD_1412000340_05</t>
  </si>
  <si>
    <t>PL_ZEWD_1412000341_07</t>
  </si>
  <si>
    <t>PL_ZEWD_1412000342_09</t>
  </si>
  <si>
    <t>PL_ZEWD_1412000343_01</t>
  </si>
  <si>
    <t>Rakówiec</t>
  </si>
  <si>
    <t>PL_ZEWD_1412000272_08</t>
  </si>
  <si>
    <t>PL_ZEWD_1412000273_00</t>
  </si>
  <si>
    <t>Grabniak</t>
  </si>
  <si>
    <t>PL_ZEWD_1412000274_02</t>
  </si>
  <si>
    <t>Rudzienko</t>
  </si>
  <si>
    <t>PL_ZEWD_1412000275_04</t>
  </si>
  <si>
    <t>PL_ZEWD_1412000276_06</t>
  </si>
  <si>
    <t>PL_ZEWD_1412000277_08</t>
  </si>
  <si>
    <t>Pokrzywnik</t>
  </si>
  <si>
    <t>PL_ZEWD_1412000278_00</t>
  </si>
  <si>
    <t>PL_ZEWD_1412000279_02</t>
  </si>
  <si>
    <t>PL_ZEWD_1412000280_03</t>
  </si>
  <si>
    <t>PL_ZEWD_1412000281_05</t>
  </si>
  <si>
    <t>PL_ZEWD_1412000282_07</t>
  </si>
  <si>
    <t>PL_ZEWD_1412000284_01</t>
  </si>
  <si>
    <t>PL_ZEWD_1412000285_03</t>
  </si>
  <si>
    <t>PL_ZEWD_1412000286_05</t>
  </si>
  <si>
    <t>Targowa</t>
  </si>
  <si>
    <t>Moniuszki</t>
  </si>
  <si>
    <t>PL_ZEWD_1412000287_07</t>
  </si>
  <si>
    <t>PL_ZEWD_1412000288_09</t>
  </si>
  <si>
    <t>PL_ZEWD_1412000289_01</t>
  </si>
  <si>
    <t>Antonina</t>
  </si>
  <si>
    <t>PL_ZEWD_1412000290_02</t>
  </si>
  <si>
    <t>PL_ZEWD_1412000291_04</t>
  </si>
  <si>
    <t>PL_ZEWD_1412000292_06</t>
  </si>
  <si>
    <t>Brzozowica</t>
  </si>
  <si>
    <t>PL_ZEWD_1412000293_08</t>
  </si>
  <si>
    <t>PL_ZEWD_1412000294_00</t>
  </si>
  <si>
    <t>Wólka Czarnogłowska</t>
  </si>
  <si>
    <t>PL_ZEWD_1412000295_02</t>
  </si>
  <si>
    <t>Czarnogłów</t>
  </si>
  <si>
    <t>PL_ZEWD_1412000296_04</t>
  </si>
  <si>
    <t>PL_ZEWD_1412000298_08</t>
  </si>
  <si>
    <t>Głęboczyca</t>
  </si>
  <si>
    <t>PL_ZEWD_1412000299_00</t>
  </si>
  <si>
    <t>PL_ZEWD_1412000300_09</t>
  </si>
  <si>
    <t>Jaczewek</t>
  </si>
  <si>
    <t>PL_ZEWD_1412000301_01</t>
  </si>
  <si>
    <t>Kobylanka</t>
  </si>
  <si>
    <t>PL_ZEWD_1412000302_03</t>
  </si>
  <si>
    <t xml:space="preserve">Rynia </t>
  </si>
  <si>
    <t>PL_ZEWD_1412000823_03</t>
  </si>
  <si>
    <t>Dobrzynieckiego</t>
  </si>
  <si>
    <t>05-307 Dobre</t>
  </si>
  <si>
    <t>Gmina Mrozy</t>
  </si>
  <si>
    <t>05-320 Mrozy</t>
  </si>
  <si>
    <t xml:space="preserve">Szczegółowy Opis Przedmiotu Zamówienia zawiera informacje dotyczące: </t>
  </si>
  <si>
    <t>Jakubów</t>
  </si>
  <si>
    <t>05-306</t>
  </si>
  <si>
    <t>Budy Kumińskie</t>
  </si>
  <si>
    <t>Góry</t>
  </si>
  <si>
    <t>Jędrzejów Nowy</t>
  </si>
  <si>
    <t>Jędrzejów Stary</t>
  </si>
  <si>
    <t>Mistów</t>
  </si>
  <si>
    <t>Leontyna</t>
  </si>
  <si>
    <t>Brzozówka</t>
  </si>
  <si>
    <t>Przedewsie</t>
  </si>
  <si>
    <t>Izabelin</t>
  </si>
  <si>
    <t>Szczytnik</t>
  </si>
  <si>
    <t>Strzebula</t>
  </si>
  <si>
    <t>Wola Polska</t>
  </si>
  <si>
    <t>Ludwinów</t>
  </si>
  <si>
    <t>Łaziska</t>
  </si>
  <si>
    <t>Aleksandrów</t>
  </si>
  <si>
    <t>Moczydła</t>
  </si>
  <si>
    <t>Rządza</t>
  </si>
  <si>
    <t>Witkowizna</t>
  </si>
  <si>
    <t>Wiśniew</t>
  </si>
  <si>
    <t>Anielinek</t>
  </si>
  <si>
    <t>Turek</t>
  </si>
  <si>
    <t>Nart</t>
  </si>
  <si>
    <t>Moc umowna</t>
  </si>
  <si>
    <t>Nazwa PPE</t>
  </si>
  <si>
    <t>Kałuszyn</t>
  </si>
  <si>
    <t>05-310</t>
  </si>
  <si>
    <t>Mostowa</t>
  </si>
  <si>
    <t>Trzcianka</t>
  </si>
  <si>
    <t>Patok</t>
  </si>
  <si>
    <t>Wojska Polskiego</t>
  </si>
  <si>
    <t>Pocztowa</t>
  </si>
  <si>
    <t>Bohaterów Września 1939r. osiedle 3</t>
  </si>
  <si>
    <t>Podleśna</t>
  </si>
  <si>
    <t>Martyrologii cmentarz</t>
  </si>
  <si>
    <t>Budy Przytockie</t>
  </si>
  <si>
    <t>Chrościce</t>
  </si>
  <si>
    <t>Garczyn Mały</t>
  </si>
  <si>
    <t>Zimnowoda</t>
  </si>
  <si>
    <t>Leonów</t>
  </si>
  <si>
    <t>Olszewice</t>
  </si>
  <si>
    <t>Szymony</t>
  </si>
  <si>
    <t>Przytoka</t>
  </si>
  <si>
    <t>Kazimierzów</t>
  </si>
  <si>
    <t>Żebrówka</t>
  </si>
  <si>
    <t>Wólka Kałuska</t>
  </si>
  <si>
    <t>Wąsy</t>
  </si>
  <si>
    <t>Groszki Stare</t>
  </si>
  <si>
    <t>Groszki Nowe</t>
  </si>
  <si>
    <t xml:space="preserve">Gołębiówka </t>
  </si>
  <si>
    <t>Wity</t>
  </si>
  <si>
    <t>Falbogi</t>
  </si>
  <si>
    <t>Mroczki Duże</t>
  </si>
  <si>
    <t>Milew</t>
  </si>
  <si>
    <t>Piotrowina</t>
  </si>
  <si>
    <t>Sinołęka</t>
  </si>
  <si>
    <t>Garczyn Duży</t>
  </si>
  <si>
    <t>Abramy</t>
  </si>
  <si>
    <t>Ul. Pocztowa 1</t>
  </si>
  <si>
    <t>05-310 Kałuszyn</t>
  </si>
  <si>
    <t>OSD właściwy dla punktów poboru energii Zamawiającego - PGE Dystrybucja S.A.</t>
  </si>
  <si>
    <t>P -</t>
  </si>
  <si>
    <t>pierwsza zmiana Sprzedawcy</t>
  </si>
  <si>
    <t>K -</t>
  </si>
  <si>
    <t>kolejna zmiana Sprzedawcy</t>
  </si>
  <si>
    <t>szczyt/dzień</t>
  </si>
  <si>
    <t>pozaszczyt/noc</t>
  </si>
  <si>
    <t>Szczegółowy Opis Przedmiotu Zamówienia - Gmina Kałuszyn</t>
  </si>
  <si>
    <t>Numer posesji</t>
  </si>
  <si>
    <t>Prognozowany wolumen zużycia energii elektrycznej czynnej [kWh] w okresie objętym przedmiotem zamówienia (bilans Sprzedawcy)</t>
  </si>
  <si>
    <t xml:space="preserve">całodobowa </t>
  </si>
  <si>
    <t>05-306 Jakubów</t>
  </si>
  <si>
    <t>kolejności zmiany sprzedawcy, terminów rozwiązania umów kompleksowych oraz terminów rozpoczęcia sprzedaży wynikających ze skuteczności rozwiązania umów kompleksowych dla PPE Zamawiającego</t>
  </si>
  <si>
    <t>Szczegółowy Opis Przedmiotu Zamówienia - Gmina Jakubów</t>
  </si>
  <si>
    <t>Szczegółowy Opis Przedmiotu Zamówienia - Gmina Dobre</t>
  </si>
  <si>
    <t>Szczegółowy Opis Przedmiotu Zamówienia - Miasto Sulejówek</t>
  </si>
  <si>
    <t>Szczegółowy Opis Przedmiotu Zamówienia - Gmina Cegłów</t>
  </si>
  <si>
    <t>Szczegółowy Opis Przedmiotu Zamówienia - Gmina Latowicz</t>
  </si>
  <si>
    <t>Szczegółowy Opis Przedmiotu Zamówienia - Gmina Siennica</t>
  </si>
  <si>
    <t>Szczegółowy Opis Przedmiotu Zamówienia - Gmina Dębe Wielkie</t>
  </si>
  <si>
    <t>Szczegółowy Opis Przedmiotu Zamówienia - Gmina Halinów</t>
  </si>
  <si>
    <t>Szczegółowy Opis Przedmiotu Zamówienia - Gmina Mińsk Mazowiecki</t>
  </si>
  <si>
    <t>Szczegółowy Opis Przedmiotu Zamówienia - Miasto Mińsk Mazowiecki</t>
  </si>
  <si>
    <t>Szczegółowy Opis Przedmiotu Zamówienia - Gmina Mrozy</t>
  </si>
  <si>
    <t>PGE Dystrybucja S.A.</t>
  </si>
  <si>
    <t>OSD właściwy dla punktów poboru energii Zamawiającego</t>
  </si>
  <si>
    <t>PKP Energetyka S.A.</t>
  </si>
  <si>
    <t>OSD PGE Dystrybucja S.A.</t>
  </si>
  <si>
    <t>Szczegółowy Opis Przedmiotu Zamówienia - Gmina Stanisławów</t>
  </si>
  <si>
    <t>05-304</t>
  </si>
  <si>
    <t>Stanisławów</t>
  </si>
  <si>
    <t>Retków</t>
  </si>
  <si>
    <t>Pustelnik</t>
  </si>
  <si>
    <t>Siedlecka</t>
  </si>
  <si>
    <t>Młynarska</t>
  </si>
  <si>
    <t>Mała</t>
  </si>
  <si>
    <t>Łąkowa</t>
  </si>
  <si>
    <t>Kolonie Stanisławów</t>
  </si>
  <si>
    <t>Borek Czarniński</t>
  </si>
  <si>
    <t>Szymankowszczyzna</t>
  </si>
  <si>
    <t>Gmina Mrozy ośw. Ul.</t>
  </si>
  <si>
    <t>Skrzeki</t>
  </si>
  <si>
    <t>Oświetlenie boiska sportowego</t>
  </si>
  <si>
    <t>Poniatowskiego</t>
  </si>
  <si>
    <t>dz.611/12</t>
  </si>
  <si>
    <t>PL_ZEWD_1412001152_09</t>
  </si>
  <si>
    <t>PL_ZEWD_1412001136_09</t>
  </si>
  <si>
    <t>PL_ZEWD_1412001184_00</t>
  </si>
  <si>
    <t>PL_ZEWD_1412001298_05</t>
  </si>
  <si>
    <t>PL_ZEWD_1412001236_07</t>
  </si>
  <si>
    <t>PL_ZEWD_1412001197_05</t>
  </si>
  <si>
    <t>PL_ZEWD_1412001211_09</t>
  </si>
  <si>
    <t>PL_ZEWD_1412001173_09</t>
  </si>
  <si>
    <t>PL_ZEWD_1412001225_06</t>
  </si>
  <si>
    <t>PL_ZEWD_1412001204_06</t>
  </si>
  <si>
    <t>PL_ZEWD_1412001181_04</t>
  </si>
  <si>
    <t>PL_ZEWD_1412001195_01</t>
  </si>
  <si>
    <t>PL_ZEWD_1412001242_08</t>
  </si>
  <si>
    <t>PL_ZEWD_1412001175_03</t>
  </si>
  <si>
    <t>PL_ZEWD_1412001183_08</t>
  </si>
  <si>
    <t>PL_ZEWD_1412001223_02</t>
  </si>
  <si>
    <t>PL_ZEWD_1412001199_09</t>
  </si>
  <si>
    <t>PL_ZEWD_1412001177_07</t>
  </si>
  <si>
    <t>PL_ZEWD_1412001179_01</t>
  </si>
  <si>
    <t>PL_ZEWD_1412001216_09</t>
  </si>
  <si>
    <t>PL_ZEWD_1412001215_07</t>
  </si>
  <si>
    <t>PL_ZEWD_1412001229_04</t>
  </si>
  <si>
    <t>PL_ZEWD_1412001194_09</t>
  </si>
  <si>
    <t>PL_ZEWD_1412001196_03</t>
  </si>
  <si>
    <t>PL_ZEWD_1412001218_03</t>
  </si>
  <si>
    <t>PL_ZEWD_1412001219_05</t>
  </si>
  <si>
    <t>PL_ZEWD_1412001178_09</t>
  </si>
  <si>
    <t>PL_ZEWD_1412001171_05</t>
  </si>
  <si>
    <t>PL_ZEWD_1412001185_02</t>
  </si>
  <si>
    <t>PL_ZEWD_1412001176_05</t>
  </si>
  <si>
    <t>PL_ZEWD_1412001224_04</t>
  </si>
  <si>
    <t>PL_ZEWD_1412001144_04</t>
  </si>
  <si>
    <t>PL_ZEWD_1412001159_03</t>
  </si>
  <si>
    <t>PL_ZEWD_1412001163_00</t>
  </si>
  <si>
    <t>PL_ZEWD_1412001138_03</t>
  </si>
  <si>
    <t>PL_ZEWD_1412001143_02</t>
  </si>
  <si>
    <t>PL_ZEWD_1412001213_03</t>
  </si>
  <si>
    <t>PL_ZEWD_1412001140_06</t>
  </si>
  <si>
    <t>PL_ZEWD_1412001147_00</t>
  </si>
  <si>
    <t>PL_ZEWD_1412001166_06</t>
  </si>
  <si>
    <t>PL_ZEWD_1412001167_08</t>
  </si>
  <si>
    <t>PL_ZEWD_1412001168_00</t>
  </si>
  <si>
    <t>PL_ZEWD_1412001151_07</t>
  </si>
  <si>
    <t>PL_ZEWD_1412001158_01</t>
  </si>
  <si>
    <t>PL_ZEWD_1412001131_09</t>
  </si>
  <si>
    <t>PL_ZEWD_1412001154_03</t>
  </si>
  <si>
    <t>PL_ZEWD_1412001226_08</t>
  </si>
  <si>
    <t>PL_ZEWD_1412001206_00</t>
  </si>
  <si>
    <t>PL_ZEWD_1412001201_00</t>
  </si>
  <si>
    <t>PL_ZEWD_1412001221_08</t>
  </si>
  <si>
    <t>PL_ZEWD_1412001124_06</t>
  </si>
  <si>
    <t>PL_ZEWD_1412001125_08</t>
  </si>
  <si>
    <t>PL_ZEWD_1412001214_05</t>
  </si>
  <si>
    <t>PL_ZEWD_1412001170_03</t>
  </si>
  <si>
    <t>PL_ZEWD_1412001210_07</t>
  </si>
  <si>
    <t>PL_ZEWD_1412001193_07</t>
  </si>
  <si>
    <t>PL_ZEWD_1412001174_01</t>
  </si>
  <si>
    <t>PL_ZEWD_1412001234_03</t>
  </si>
  <si>
    <t>PL_ZEWD_1412001227_00</t>
  </si>
  <si>
    <t>PL_ZEWD_1412001203_04</t>
  </si>
  <si>
    <t>PL_ZEWD_1412001228_02</t>
  </si>
  <si>
    <t>PL_ZEWD_1412001230_05</t>
  </si>
  <si>
    <t>PL_ZEWD_1412001220_06</t>
  </si>
  <si>
    <t>PL_ZEWD_1412001208_04</t>
  </si>
  <si>
    <t>PL_ZEWD_1412001180_02</t>
  </si>
  <si>
    <t>PL_ZEWD_1412001239_03</t>
  </si>
  <si>
    <t>PL_ZEWD_1412001241_06</t>
  </si>
  <si>
    <t>PL_ZEWD_1412001237_09</t>
  </si>
  <si>
    <t>PL_ZEWD_1412001209_06</t>
  </si>
  <si>
    <t>PL_ZEWD_1412001207_02</t>
  </si>
  <si>
    <t>PL_ZEWD_1412001189_00</t>
  </si>
  <si>
    <t>PL_ZEWD_1412001188_08</t>
  </si>
  <si>
    <t>PL_ZEWD_1412001231_07</t>
  </si>
  <si>
    <t>PL_ZEWD_1412001186_04</t>
  </si>
  <si>
    <t>PL_ZEWD_1412001233_01</t>
  </si>
  <si>
    <t>PL_ZEWD_1412001240_04</t>
  </si>
  <si>
    <t>PL_ZEWD_1412001172_07</t>
  </si>
  <si>
    <t>PL_ZEWD_1412001212_01</t>
  </si>
  <si>
    <t>PL_ZEWD_1412001217_01</t>
  </si>
  <si>
    <t>PL_ZEWD_1412001238_01</t>
  </si>
  <si>
    <t>PL_ZEWD_1412001169_02</t>
  </si>
  <si>
    <t>PL_ZEWD_1412001205_08</t>
  </si>
  <si>
    <t>PL_ZEWD_1412001222_00</t>
  </si>
  <si>
    <t>PL_ZEWD_1412001235_05</t>
  </si>
  <si>
    <t>PL_ZEWD_1412001232_09</t>
  </si>
  <si>
    <t>PL_ZEWD_1412001182_06</t>
  </si>
  <si>
    <t>PL_ZEWD_1412001191_03</t>
  </si>
  <si>
    <t>PL_ZEWD_1412001190_01</t>
  </si>
  <si>
    <t>PL_ZEWD_1412001160_04</t>
  </si>
  <si>
    <t>PL_ZEWD_1412001145_06</t>
  </si>
  <si>
    <t>PL_ZEWD_1412001164_02</t>
  </si>
  <si>
    <t>PL_ZEWD_1412001134_05</t>
  </si>
  <si>
    <t>PL_ZEWD_1412001135_07</t>
  </si>
  <si>
    <t>PL_ZEWD_1412001149_04</t>
  </si>
  <si>
    <t>PL_ZEWD_1412001161_06</t>
  </si>
  <si>
    <t>PL_ZEWD_1412001156_07</t>
  </si>
  <si>
    <t>PL_ZEWD_1412001165_04</t>
  </si>
  <si>
    <t>PL_ZEWD_1412001153_01</t>
  </si>
  <si>
    <t>PL_ZEWD_1412001162_08</t>
  </si>
  <si>
    <t>PL_ZEWD_1412001133_03</t>
  </si>
  <si>
    <t>PL_ZEWD_1412001148_02</t>
  </si>
  <si>
    <t>PL_ZEWD_1412001157_09</t>
  </si>
  <si>
    <t>PL_ZEWD_1412001139_05</t>
  </si>
  <si>
    <t>PL_ZEWD_1412001146_08</t>
  </si>
  <si>
    <t>PL_ZEWD_1412001192_05</t>
  </si>
  <si>
    <t>PL_ZEWD_1412001198_07</t>
  </si>
  <si>
    <t>PL_ZEWD_1412002216_06</t>
  </si>
  <si>
    <t>PL_ZEWD_1412001942_04</t>
  </si>
  <si>
    <t>PL_ZEWD_1412002049_03</t>
  </si>
  <si>
    <t>PL_ZEWD_1412001930_01</t>
  </si>
  <si>
    <t>PL_ZEWD_1412002047_09</t>
  </si>
  <si>
    <t>PL_ZEWD_1412001918_09</t>
  </si>
  <si>
    <t>PL_ZEWD_1412001949_08</t>
  </si>
  <si>
    <t>PL_ZEWD_1412001915_03</t>
  </si>
  <si>
    <t>PL_ZEWD_1412002048_01</t>
  </si>
  <si>
    <t>PL_ZEWD_1412002027_01</t>
  </si>
  <si>
    <t>PL_ZEWD_1412001921_04</t>
  </si>
  <si>
    <t>PL_ZEWD_1412001957_03</t>
  </si>
  <si>
    <t>PL_ZEWD_1412002055_04</t>
  </si>
  <si>
    <t>PL_ZEWD_1412002041_07</t>
  </si>
  <si>
    <t>PL_ZEWD_1412002025_07</t>
  </si>
  <si>
    <t>PL_ZEWD_1412001943_06</t>
  </si>
  <si>
    <t>PL_ZEWD_1412001951_01</t>
  </si>
  <si>
    <t>PL_ZEWD_1412001939_09</t>
  </si>
  <si>
    <t>PL_ZEWD_1412001926_04</t>
  </si>
  <si>
    <t>PL_ZEWD_1412001931_03</t>
  </si>
  <si>
    <t>PL_ZEWD_1412001950_09</t>
  </si>
  <si>
    <t>PL_ZEWD_1412002017_02</t>
  </si>
  <si>
    <t>PL_ZEWD_1412002035_06</t>
  </si>
  <si>
    <t>PL_ZEWD_1412001922_06</t>
  </si>
  <si>
    <t>PL_ZEWD_1412001935_01</t>
  </si>
  <si>
    <t>PL_ZEWD_1412002028_03</t>
  </si>
  <si>
    <t>PL_ZEWD_1412002022_01</t>
  </si>
  <si>
    <t>PL_ZEWD_1412001933_07</t>
  </si>
  <si>
    <t>PL_ZEWD_1412002033_02</t>
  </si>
  <si>
    <t>PL_ZEWD_1412001917_07</t>
  </si>
  <si>
    <t>PL_ZEWD_1412001925_02</t>
  </si>
  <si>
    <t>PL_ZEWD_1412001932_05</t>
  </si>
  <si>
    <t>PL_ZEWD_1412002044_03</t>
  </si>
  <si>
    <t>PL_ZEWD_1412001929_00</t>
  </si>
  <si>
    <t>PL_ZEWD_1412001938_07</t>
  </si>
  <si>
    <t>PL_ZEWD_1412002016_00</t>
  </si>
  <si>
    <t>PL_ZEWD_1412002024_05</t>
  </si>
  <si>
    <t>PL_ZEWD_1412001908_00</t>
  </si>
  <si>
    <t>PL_ZEWD_1412001954_07</t>
  </si>
  <si>
    <t>PL_ZEWD_1412001946_02</t>
  </si>
  <si>
    <t>PL_ZEWD_1412001945_00</t>
  </si>
  <si>
    <t>PL_ZEWD_1412002053_00</t>
  </si>
  <si>
    <t>PL_ZEWD_1412001953_05</t>
  </si>
  <si>
    <t>PL_ZEWD_1412002031_08</t>
  </si>
  <si>
    <t>PL_ZEWD_1412002036_08</t>
  </si>
  <si>
    <t>PL_ZEWD_1412001911_05</t>
  </si>
  <si>
    <t>PL_ZEWD_1412002034_04</t>
  </si>
  <si>
    <t>PL_ZEWD_1412001919_01</t>
  </si>
  <si>
    <t>PL_ZEWD_1412001936_03</t>
  </si>
  <si>
    <t>PL_ZEWD_1412001916_05</t>
  </si>
  <si>
    <t>PL_ZEWD_1412001920_02</t>
  </si>
  <si>
    <t>PL_ZEWD_1412001910_03</t>
  </si>
  <si>
    <t>PL_ZEWD_1412002045_05</t>
  </si>
  <si>
    <t>PL_ZEWD_1412001924_00</t>
  </si>
  <si>
    <t>PL_ZEWD_1412002029_05</t>
  </si>
  <si>
    <t>PL_ZEWD_1412002014_06</t>
  </si>
  <si>
    <t>PL_ZEWD_1412002042_09</t>
  </si>
  <si>
    <t>PL_ZEWD_1412002052_08</t>
  </si>
  <si>
    <t>PL_ZEWD_1412002015_08</t>
  </si>
  <si>
    <t>PL_ZEWD_1412001956_01</t>
  </si>
  <si>
    <t>PL_ZEWD_1412001944_08</t>
  </si>
  <si>
    <t>PL_ZEWD_1412001952_03</t>
  </si>
  <si>
    <t>PL_ZEWD_1412002023_03</t>
  </si>
  <si>
    <t>PL_ZEWD_1412002057_08</t>
  </si>
  <si>
    <t>PL_ZEWD_1412001940_00</t>
  </si>
  <si>
    <t>PL_ZEWD_1412001934_09</t>
  </si>
  <si>
    <t>PL_ZEWD_1412002012_02</t>
  </si>
  <si>
    <t>PL_ZEWD_1412002043_01</t>
  </si>
  <si>
    <t>PL_ZEWD_1412001937_05</t>
  </si>
  <si>
    <t>PL_ZEWD_1412001927_06</t>
  </si>
  <si>
    <t>PL_ZEWD_1412001907_08</t>
  </si>
  <si>
    <t>PL_ZEWD_1412002026_09</t>
  </si>
  <si>
    <t>PL_ZEWD_1412002050_04</t>
  </si>
  <si>
    <t>PL_ZEWD_1412002038_02</t>
  </si>
  <si>
    <t>PL_ZEWD_1412001993_01</t>
  </si>
  <si>
    <t>PL_ZEWD_1412002046_07</t>
  </si>
  <si>
    <t>PL_ZEWD_1412002020_07</t>
  </si>
  <si>
    <t>PL_ZEWD_1412001986_08</t>
  </si>
  <si>
    <t>PL_ZEWD_1412002054_02</t>
  </si>
  <si>
    <t>PL_ZEWD_1412002056_06</t>
  </si>
  <si>
    <t>PL_ZEWD_1412001914_01</t>
  </si>
  <si>
    <t>PL_ZEWD_1412001955_09</t>
  </si>
  <si>
    <t>PL_ZEWD_1412002010_08</t>
  </si>
  <si>
    <t>PL_ZEWD_1412001913_09</t>
  </si>
  <si>
    <t>PL_ZEWD_1412002040_05</t>
  </si>
  <si>
    <t>PL_ZEWD_1412002032_00</t>
  </si>
  <si>
    <t>PL_ZEWD_1412001948_06</t>
  </si>
  <si>
    <t>PL_ZEWD_1412002030_06</t>
  </si>
  <si>
    <t>PL_ZEWD_1412002037_00</t>
  </si>
  <si>
    <t>PL_ZEWD_1412002018_04</t>
  </si>
  <si>
    <t>PL_ZEWD_1412002058_00</t>
  </si>
  <si>
    <t>PL_ZEWD_1412002003_05</t>
  </si>
  <si>
    <t>PL_ZEWD_1412002008_05</t>
  </si>
  <si>
    <t>PL_ZEWD_1412002005_09</t>
  </si>
  <si>
    <t>PL_ZEWD_1412001995_05</t>
  </si>
  <si>
    <t>PL_ZEWD_1412001985_06</t>
  </si>
  <si>
    <t>PL_ZEWD_1412002039_04</t>
  </si>
  <si>
    <t>PL_ZEWD_1412002001_01</t>
  </si>
  <si>
    <t>PL_ZEWD_1412002019_06</t>
  </si>
  <si>
    <t>PL_ZEWD_1412002060_03</t>
  </si>
  <si>
    <t>PL_ZEWD_1412002061_05</t>
  </si>
  <si>
    <t>PL_ZEWD_1412002062_07</t>
  </si>
  <si>
    <t>PL_ZEWD_1412001958_05</t>
  </si>
  <si>
    <t>PL_ZEWD_1412002021_09</t>
  </si>
  <si>
    <t>PL_ZEWD_1412001989_04</t>
  </si>
  <si>
    <t>PL_ZEWD_1412001909_02</t>
  </si>
  <si>
    <t>PL_ZEWD_1412002013_04</t>
  </si>
  <si>
    <t>PL_ZEWD_1412001941_02</t>
  </si>
  <si>
    <t>PL_ZEWD_1412002051_06</t>
  </si>
  <si>
    <t>PL_ZEWD_1412001912_07</t>
  </si>
  <si>
    <t>PL_ZEWD_1412001923_08</t>
  </si>
  <si>
    <t>PL_ZEWD_1412001997_09</t>
  </si>
  <si>
    <t>PL_ZEWD_1412002011_00</t>
  </si>
  <si>
    <t>PL_ZEWD_1412001928_08</t>
  </si>
  <si>
    <t>PL_ZEWD_1412001947_04</t>
  </si>
  <si>
    <t>Hr. Mariana Starzeńskiego</t>
  </si>
  <si>
    <t>oświetlenie drogowe</t>
  </si>
  <si>
    <t>Kołbielska</t>
  </si>
  <si>
    <t>oświetlenie drogowe rondo Stojadła</t>
  </si>
  <si>
    <t>Oświetlenie ulic</t>
  </si>
  <si>
    <t>Sokólska</t>
  </si>
  <si>
    <t>PL_ZEWD_1412001400_04</t>
  </si>
  <si>
    <t>PL_ZEWD_1412000255_06</t>
  </si>
  <si>
    <t>11-go Listopada/Orla p1</t>
  </si>
  <si>
    <t>Marczewskiego Jędrzeja/Orla p2</t>
  </si>
  <si>
    <t>Dworcowa/Krucza p1</t>
  </si>
  <si>
    <t>Plater Emilii/Okuniewsk p2</t>
  </si>
  <si>
    <t>Grabskiego Stanisława/Kruczkows p3</t>
  </si>
  <si>
    <t>Szkolna/Kruczkows p4</t>
  </si>
  <si>
    <t>Świętojańska/Wspólna p6</t>
  </si>
  <si>
    <t>Piaskowa p5</t>
  </si>
  <si>
    <t>Kędzierak</t>
  </si>
  <si>
    <t>Stara Wieś</t>
  </si>
  <si>
    <t>PL_ZEWD_1412000150_08</t>
  </si>
  <si>
    <t>PL_ZEWD_1412000126_03</t>
  </si>
  <si>
    <t>Kąty</t>
  </si>
  <si>
    <t>PL_ZEWD_1412000158_04</t>
  </si>
  <si>
    <t>Tadeusza Kościuszki</t>
  </si>
  <si>
    <t>Dąbrówka II</t>
  </si>
  <si>
    <t>Dąbrówka I</t>
  </si>
  <si>
    <t>Juliusza Słowackiego</t>
  </si>
  <si>
    <t>2 2</t>
  </si>
  <si>
    <t>PL_ZEWD_1412001368_06</t>
  </si>
  <si>
    <t>PL_ZEWD_1412001390_07</t>
  </si>
  <si>
    <t>PL_ZEWD_1412001369_08</t>
  </si>
  <si>
    <t>PL_ZEWD_1412001322_08</t>
  </si>
  <si>
    <t>PL_ZEWD_1412001352_05</t>
  </si>
  <si>
    <t>PL_ZEWD_1412001427_06</t>
  </si>
  <si>
    <t>PL_ZEWD_1412001329_02</t>
  </si>
  <si>
    <t>PL_ZEWD_1412001426_04</t>
  </si>
  <si>
    <t>PL_ZEWD_1412001324_02</t>
  </si>
  <si>
    <t>PL_ZEWD_1412001346_04</t>
  </si>
  <si>
    <t>PL_ZEWD_1412001349_00</t>
  </si>
  <si>
    <t>PL_ZEWD_1412001348_08</t>
  </si>
  <si>
    <t>PL_ZEWD_1412001344_00</t>
  </si>
  <si>
    <t>PL_ZEWD_1412001339_01</t>
  </si>
  <si>
    <t>PL_ZEWD_1412001326_06</t>
  </si>
  <si>
    <t>PL_ZEWD_1412001340_02</t>
  </si>
  <si>
    <t>PL_ZEWD_1412001357_05</t>
  </si>
  <si>
    <t>PL_ZEWD_1412001343_08</t>
  </si>
  <si>
    <t>PL_ZEWD_1412001338_09</t>
  </si>
  <si>
    <t>PL_ZEWD_1412001353_07</t>
  </si>
  <si>
    <t>PL_ZEWD_1412001351_03</t>
  </si>
  <si>
    <t>PL_ZEWD_1412001347_06</t>
  </si>
  <si>
    <t>PL_ZEWD_1412001318_01</t>
  </si>
  <si>
    <t>PL_ZEWD_1412001312_09</t>
  </si>
  <si>
    <t>PL_ZEWD_1412001358_07</t>
  </si>
  <si>
    <t>PL_ZEWD_1412001314_03</t>
  </si>
  <si>
    <t>PL_ZEWD_1412001336_05</t>
  </si>
  <si>
    <t>PL_ZEWD_1412001321_06</t>
  </si>
  <si>
    <t>PL_ZEWD_1412001356_03</t>
  </si>
  <si>
    <t>Gmina Jakubów</t>
  </si>
  <si>
    <t>PL_ZEWD_1412001311_07</t>
  </si>
  <si>
    <t>PL_ZEWD_1412001319_03</t>
  </si>
  <si>
    <t>PL_ZEWD_1412001342_06</t>
  </si>
  <si>
    <t>PL_ZEWD_1412001323_00</t>
  </si>
  <si>
    <t>PL_ZEWD_1412001333_09</t>
  </si>
  <si>
    <t>PL_ZEWD_1412001315_05</t>
  </si>
  <si>
    <t>PL_ZEWD_1412001335_03</t>
  </si>
  <si>
    <t>PL_ZEWD_1412001365_00</t>
  </si>
  <si>
    <t>PL_ZEWD_1412001317_09</t>
  </si>
  <si>
    <t>PL_ZEWD_1412001308_02</t>
  </si>
  <si>
    <t>PL_ZEWD_1412001328_00</t>
  </si>
  <si>
    <t>PL_ZEWD_1412001334_01</t>
  </si>
  <si>
    <t>PL_ZEWD_1412001320_04</t>
  </si>
  <si>
    <t>PL_ZEWD_1412001330_03</t>
  </si>
  <si>
    <t>PL_ZEWD_1412001309_04</t>
  </si>
  <si>
    <t>PL_ZEWD_1412001327_08</t>
  </si>
  <si>
    <t>PL_ZEWD_1412001325_04</t>
  </si>
  <si>
    <t>PL_ZEWD_1412001313_01</t>
  </si>
  <si>
    <t>PL_ZEWD_1412001316_07</t>
  </si>
  <si>
    <t>PL_ZEWD_1412001332_07</t>
  </si>
  <si>
    <t>PL_ZEWD_1412001310_05</t>
  </si>
  <si>
    <t>PL_ZEWD_1412001350_01</t>
  </si>
  <si>
    <t>PL_ZEWD_1412001341_04</t>
  </si>
  <si>
    <t>PL_ZEWD_1412001331_05</t>
  </si>
  <si>
    <t>PL_ZEWD_1412001429_00</t>
  </si>
  <si>
    <t>Numer</t>
  </si>
  <si>
    <t>Skrzyneckiego</t>
  </si>
  <si>
    <t>Paderewskiego</t>
  </si>
  <si>
    <t>Ruda-Pniewnik</t>
  </si>
  <si>
    <t>Kąty-Borucza</t>
  </si>
  <si>
    <t>Gmina Dobre</t>
  </si>
  <si>
    <t>ul. Kościuszki 1</t>
  </si>
  <si>
    <t>PL_ZEWD_1412001061_08</t>
  </si>
  <si>
    <t>PL_ZEWD_1412001059_05</t>
  </si>
  <si>
    <t>PL_ZEWD_1412001037_03</t>
  </si>
  <si>
    <t>PL_ZEWD_1412001047_02</t>
  </si>
  <si>
    <t>PL_ZEWD_1412001053_03</t>
  </si>
  <si>
    <t>PL_ZEWD_1412001063_02</t>
  </si>
  <si>
    <t>PL_ZEWD_1412001056_09</t>
  </si>
  <si>
    <t>PL_ZEWD_1412001045_08</t>
  </si>
  <si>
    <t>PL_ZEWD_1412001069_04</t>
  </si>
  <si>
    <t>PL_ZEWD_1412001067_00</t>
  </si>
  <si>
    <t>PL_ZEWD_1412001088_00</t>
  </si>
  <si>
    <t>PL_ZEWD_1412001087_08</t>
  </si>
  <si>
    <t>PL_ZEWD_1412001051_09</t>
  </si>
  <si>
    <t>PL_ZEWD_1412001068_02</t>
  </si>
  <si>
    <t>PL_ZEWD_1412001064_04</t>
  </si>
  <si>
    <t>PL_ZEWD_1412001062_00</t>
  </si>
  <si>
    <t>PL_ZEWD_1412001019_09</t>
  </si>
  <si>
    <t>PL_ZEWD_1412001039_07</t>
  </si>
  <si>
    <t>PL_ZEWD_1412001034_07</t>
  </si>
  <si>
    <t>PL_ZEWD_1412001081_06</t>
  </si>
  <si>
    <t>PL_ZEWD_1412001050_07</t>
  </si>
  <si>
    <t>PL_ZEWD_1412001055_07</t>
  </si>
  <si>
    <t>PL_ZEWD_1412001070_05</t>
  </si>
  <si>
    <t>PL_ZEWD_1412001057_01</t>
  </si>
  <si>
    <t>PL_ZEWD_1412001032_03</t>
  </si>
  <si>
    <t>PL_ZEWD_1412001029_08</t>
  </si>
  <si>
    <t>Czarna</t>
  </si>
  <si>
    <t>PL_ZEWD_1412001071_07</t>
  </si>
  <si>
    <t>PL_ZEWD_1412001030_09</t>
  </si>
  <si>
    <t>PL_ZEWD_1412001490_05</t>
  </si>
  <si>
    <t>PL_ZEWD_1412001028_06</t>
  </si>
  <si>
    <t>PL_ZEWD_1412001027_04</t>
  </si>
  <si>
    <t>PL_ZEWD_1412001085_04</t>
  </si>
  <si>
    <t>PL_ZEWD_1412001078_01</t>
  </si>
  <si>
    <t>PL_ZEWD_1412001038_05</t>
  </si>
  <si>
    <t>PL_ZEWD_1412001049_06</t>
  </si>
  <si>
    <t>PL_ZEWD_1412001065_06</t>
  </si>
  <si>
    <t>PL_ZEWD_1412001044_06</t>
  </si>
  <si>
    <t>PL_ZEWD_1412001083_00</t>
  </si>
  <si>
    <t>PL_ZEWD_1412001040_08</t>
  </si>
  <si>
    <t>PL_ZEWD_1412001046_00</t>
  </si>
  <si>
    <t>PL_ZEWD_1412001054_05</t>
  </si>
  <si>
    <t>PL_ZEWD_1412001042_02</t>
  </si>
  <si>
    <t>PL_ZEWD_1412001041_00</t>
  </si>
  <si>
    <t>PL_ZEWD_1412001043_04</t>
  </si>
  <si>
    <t>PL_ZEWD_1412001031_01</t>
  </si>
  <si>
    <t>PL_ZEWD_1412001033_05</t>
  </si>
  <si>
    <t>PL_ZEWD_1412001077_09</t>
  </si>
  <si>
    <t>PL_ZEWD_1412001060_06</t>
  </si>
  <si>
    <t>PL_ZEWD_1412001076_07</t>
  </si>
  <si>
    <t>PL_ZEWD_1412001035_09</t>
  </si>
  <si>
    <t>PL_ZEWD_1412001022_04</t>
  </si>
  <si>
    <t>Stefana Okrzei</t>
  </si>
  <si>
    <t>Stefana Kardynała Wyszyńskiego</t>
  </si>
  <si>
    <t>Stanisława Brzóski</t>
  </si>
  <si>
    <t>Małopolska</t>
  </si>
  <si>
    <t>Franciszka Żwirki</t>
  </si>
  <si>
    <t>Adama Mickiewicza</t>
  </si>
  <si>
    <t>Marii Grochowskiej</t>
  </si>
  <si>
    <t>Józefa Mireckiego</t>
  </si>
  <si>
    <t>Mariana Langiewicza</t>
  </si>
  <si>
    <t>Bolesława Limanowskiego</t>
  </si>
  <si>
    <t>Szarych Szeregów</t>
  </si>
  <si>
    <t>Zygmunta Kazikowskiego</t>
  </si>
  <si>
    <t>Marii Konopnickiej</t>
  </si>
  <si>
    <t>Ignacego Krasickiego</t>
  </si>
  <si>
    <t>Mikołaja Kopernika</t>
  </si>
  <si>
    <t>gen. Kazimierza Sosnkowskiego</t>
  </si>
  <si>
    <t>por. Władysława Klimaszewskiego</t>
  </si>
  <si>
    <t>Marcina Borelowskiego</t>
  </si>
  <si>
    <t>Jana Łupińskiego</t>
  </si>
  <si>
    <t>Kiczki Pierwsze</t>
  </si>
  <si>
    <t>PL_ZEWD_1412000480_09</t>
  </si>
  <si>
    <t>PL_ZEWD_1412000482_03</t>
  </si>
  <si>
    <t>PL_ZEWD_1412002148_09</t>
  </si>
  <si>
    <t>PL_ZEWD_1412000487_03</t>
  </si>
  <si>
    <t>Huta Kuflewska</t>
  </si>
  <si>
    <t>PL_ZEWD_1412000488_05</t>
  </si>
  <si>
    <t>PL_ZEWD_1412000489_07</t>
  </si>
  <si>
    <t>PL_ZEWD_1412000490_08</t>
  </si>
  <si>
    <t>PL_ZEWD_1412000491_00</t>
  </si>
  <si>
    <t>PL_ZEWD_1412000478_06</t>
  </si>
  <si>
    <t>PL_ZEWD_1412000479_08</t>
  </si>
  <si>
    <t>Kiczki Pierwsze I</t>
  </si>
  <si>
    <t>PL_ZEWD_1412000481_01</t>
  </si>
  <si>
    <t>Kiczki Drugie II</t>
  </si>
  <si>
    <t>PL_ZEWD_1412000483_05</t>
  </si>
  <si>
    <t>PL_ZEWD_1412000484_07</t>
  </si>
  <si>
    <t>PL_ZEWD_1412000485_09</t>
  </si>
  <si>
    <t>PL_ZEWD_1412000486_01</t>
  </si>
  <si>
    <t>PL_ZEWD_1412000517_08</t>
  </si>
  <si>
    <t>PL_ZEWD_1412000492_02</t>
  </si>
  <si>
    <t>PL_ZEWD_1412000493_04</t>
  </si>
  <si>
    <t>PL_ZEWD_1412000494_06</t>
  </si>
  <si>
    <t>PL_ZEWD_1412000495_08</t>
  </si>
  <si>
    <t>PL_ZEWD_1412000496_00</t>
  </si>
  <si>
    <t>PL_ZEWD_1412000497_02</t>
  </si>
  <si>
    <t>PL_ZEWD_1412000498_04</t>
  </si>
  <si>
    <t>Partyzantów</t>
  </si>
  <si>
    <t>PL_ZEWD_1412000499_06</t>
  </si>
  <si>
    <t>Willowa</t>
  </si>
  <si>
    <t>PL_ZEWD_1412000500_05</t>
  </si>
  <si>
    <t>Henryka Sienkiewicza</t>
  </si>
  <si>
    <t>PL_ZEWD_1412000501_07</t>
  </si>
  <si>
    <t>Bolesława Prusa</t>
  </si>
  <si>
    <t>PL_ZEWD_1412000502_09</t>
  </si>
  <si>
    <t>PL_ZEWD_1412000503_01</t>
  </si>
  <si>
    <t>Józefa Piłsudskiego</t>
  </si>
  <si>
    <t>PL_ZEWD_1412000504_03</t>
  </si>
  <si>
    <t>PL_ZEWD_1412000505_05</t>
  </si>
  <si>
    <t>PL_ZEWD_1412000506_07</t>
  </si>
  <si>
    <t>PL_ZEWD_1412000507_09</t>
  </si>
  <si>
    <t>PL_ZEWD_1412000508_01</t>
  </si>
  <si>
    <t>PL_ZEWD_1412000509_03</t>
  </si>
  <si>
    <t>PL_ZEWD_1412000510_04</t>
  </si>
  <si>
    <t>PL_ZEWD_1412000511_06</t>
  </si>
  <si>
    <t>PL_ZEWD_1412000512_08</t>
  </si>
  <si>
    <t>PL_ZEWD_1412000513_00</t>
  </si>
  <si>
    <t>PL_ZEWD_1412000514_02</t>
  </si>
  <si>
    <t>PL_ZEWD_1412000515_04</t>
  </si>
  <si>
    <t>PL_ZEWD_1412000516_06</t>
  </si>
  <si>
    <t>PL_ZEWD_1412000518_00</t>
  </si>
  <si>
    <t>PL_ZEWD_1412000519_02</t>
  </si>
  <si>
    <t>PL_ZEWD_1412000520_03</t>
  </si>
  <si>
    <t>PL_ZEWD_1412000521_05</t>
  </si>
  <si>
    <t>PL_ZEWD_1412000522_07</t>
  </si>
  <si>
    <t>PL_ZEWD_1412000523_09</t>
  </si>
  <si>
    <t>PL_ZEWD_1412000527_07</t>
  </si>
  <si>
    <t>PL_ZEWD_1412000524_01</t>
  </si>
  <si>
    <t>PL_ZEWD_1412000525_03</t>
  </si>
  <si>
    <t>PL_ZEWD_1412000526_05</t>
  </si>
  <si>
    <t>Tymoteuszew</t>
  </si>
  <si>
    <t>Teodora Dunina</t>
  </si>
  <si>
    <t>Natolin</t>
  </si>
  <si>
    <t>PL_ZEWD_1412001123_04</t>
  </si>
  <si>
    <t>PL_ZEWD_1412002102_01</t>
  </si>
  <si>
    <t>Wola Rafałowska</t>
  </si>
  <si>
    <t>Sielska</t>
  </si>
  <si>
    <t>PL_ZEWD_1412002103_03</t>
  </si>
  <si>
    <t>22 I</t>
  </si>
  <si>
    <t>Łukówiec</t>
  </si>
  <si>
    <t>PL_ZEWD_1412001476_09</t>
  </si>
  <si>
    <t>PL_ZEWD_1412001445_00</t>
  </si>
  <si>
    <t>PL_ZEWD_1412001447_04</t>
  </si>
  <si>
    <t>PL_ZEWD_1412001448_06</t>
  </si>
  <si>
    <t>PL_ZEWD_1412001477_01</t>
  </si>
  <si>
    <t>PL_ZEWD_1412001479_05</t>
  </si>
  <si>
    <t>PL_ZEWD_1412001501_04</t>
  </si>
  <si>
    <t>PL_ZEWD_1412001480_06</t>
  </si>
  <si>
    <t>PL_ZEWD_1412001521_02</t>
  </si>
  <si>
    <t>PL_ZEWD_1412001516_03</t>
  </si>
  <si>
    <t>PL_ZEWD_1412001617_03</t>
  </si>
  <si>
    <t>PL_ZEWD_1412001522_04</t>
  </si>
  <si>
    <t>PL_ZEWD_1412001456_01</t>
  </si>
  <si>
    <t>PL_ZEWD_1412001553_03</t>
  </si>
  <si>
    <t>PL_ZEWD_1412001559_05</t>
  </si>
  <si>
    <t>PL_ZEWD_1412001561_08</t>
  </si>
  <si>
    <t>PL_ZEWD_1412001623_04</t>
  </si>
  <si>
    <t>PL_ZEWD_1412001552_01</t>
  </si>
  <si>
    <t>PL_ZEWD_1412001564_04</t>
  </si>
  <si>
    <t>PL_ZEWD_1412001562_00</t>
  </si>
  <si>
    <t>PL_ZEWD_1412001557_01</t>
  </si>
  <si>
    <t>PL_ZEWD_1412001611_01</t>
  </si>
  <si>
    <t>PL_ZEWD_1412001573_01</t>
  </si>
  <si>
    <t>PL_ZEWD_1412001622_02</t>
  </si>
  <si>
    <t>PL_ZEWD_1412001616_01</t>
  </si>
  <si>
    <t>PL_ZEWD_1412001620_08</t>
  </si>
  <si>
    <t>PL_ZEWD_1412001614_07</t>
  </si>
  <si>
    <t>PL_ZEWD_1412001621_00</t>
  </si>
  <si>
    <t>PL_ZEWD_1412001565_06</t>
  </si>
  <si>
    <t>PL_ZEWD_1412001558_03</t>
  </si>
  <si>
    <t>PL_ZEWD_1412001578_01</t>
  </si>
  <si>
    <t>PL_ZEWD_1412001577_09</t>
  </si>
  <si>
    <t>PL_ZEWD_1412001576_07</t>
  </si>
  <si>
    <t>PL_ZEWD_1412001624_06</t>
  </si>
  <si>
    <t>PL_ZEWD_1412001598_09</t>
  </si>
  <si>
    <t>PL_ZEWD_1412001575_05</t>
  </si>
  <si>
    <t>PL_ZEWD_1412001563_02</t>
  </si>
  <si>
    <t>PL_ZEWD_1412001572_09</t>
  </si>
  <si>
    <t>PL_ZEWD_1412001606_02</t>
  </si>
  <si>
    <t>PL_ZEWD_1412001604_08</t>
  </si>
  <si>
    <t>PL_ZEWD_1412001551_09</t>
  </si>
  <si>
    <t>PL_ZEWD_1412001607_04</t>
  </si>
  <si>
    <t>PL_ZEWD_1412001457_03</t>
  </si>
  <si>
    <t>PL_ZEWD_1412001615_09</t>
  </si>
  <si>
    <t>PL_ZEWD_1412001773_07</t>
  </si>
  <si>
    <t>PL_ZEWD_1412001739_03</t>
  </si>
  <si>
    <t>PL_ZEWD_1412001792_03</t>
  </si>
  <si>
    <t>PL_ZEWD_1412001781_02</t>
  </si>
  <si>
    <t>PL_ZEWD_1412001772_05</t>
  </si>
  <si>
    <t>PL_ZEWD_1412001799_07</t>
  </si>
  <si>
    <t>PL_ZEWD_1412001743_00</t>
  </si>
  <si>
    <t>PL_ZEWD_1412001780_00</t>
  </si>
  <si>
    <t>PL_ZEWD_1412001745_04</t>
  </si>
  <si>
    <t>PL_ZEWD_1412002087_05</t>
  </si>
  <si>
    <t>PL_ZEWD_1412001744_02</t>
  </si>
  <si>
    <t>PL_ZEWD_1412001760_02</t>
  </si>
  <si>
    <t>PL_ZEWD_1412001738_01</t>
  </si>
  <si>
    <t>PL_ZEWD_1412001747_08</t>
  </si>
  <si>
    <t>PL_ZEWD_1412001786_02</t>
  </si>
  <si>
    <t>PL_ZEWD_1412001741_06</t>
  </si>
  <si>
    <t>PL_ZEWD_1412001728_02</t>
  </si>
  <si>
    <t>PL_ZEWD_1412001721_08</t>
  </si>
  <si>
    <t>PL_ZEWD_1412001715_07</t>
  </si>
  <si>
    <t>PL_ZEWD_1412001736_07</t>
  </si>
  <si>
    <t>PL_ZEWD_1412001725_06</t>
  </si>
  <si>
    <t>PL_ZEWD_1412001724_04</t>
  </si>
  <si>
    <t>PL_ZEWD_1412001716_09</t>
  </si>
  <si>
    <t>PL_ZEWD_1412001723_02</t>
  </si>
  <si>
    <t>PL_ZEWD_1412001718_03</t>
  </si>
  <si>
    <t>PL_ZEWD_1412001733_01</t>
  </si>
  <si>
    <t>PL_ZEWD_1412001731_07</t>
  </si>
  <si>
    <t>PL_ZEWD_1412001713_03</t>
  </si>
  <si>
    <t>PL_ZEWD_1412001717_01</t>
  </si>
  <si>
    <t>PL_ZEWD_1412001726_08</t>
  </si>
  <si>
    <t>PL_ZEWD_1412001730_05</t>
  </si>
  <si>
    <t>PL_ZEWD_1412001729_04</t>
  </si>
  <si>
    <t>PL_ZEWD_1412001714_05</t>
  </si>
  <si>
    <t>PL_ZEWD_1412001735_05</t>
  </si>
  <si>
    <t>PL_ZEWD_1412001734_03</t>
  </si>
  <si>
    <t>PL_ZEWD_1412001737_09</t>
  </si>
  <si>
    <t>PL_ZEWD_1412001712_01</t>
  </si>
  <si>
    <t>PL_ZEWD_1412001732_09</t>
  </si>
  <si>
    <t>PL_ZEWD_1412001727_00</t>
  </si>
  <si>
    <t>PL_ZEWD_1412001722_00</t>
  </si>
  <si>
    <t>PL_ZEWD_1412001711_09</t>
  </si>
  <si>
    <t>PL_ZEWD_1412001763_08</t>
  </si>
  <si>
    <t>PL_ZEWD_1412001746_06</t>
  </si>
  <si>
    <t>PL_ZEWD_1412001784_08</t>
  </si>
  <si>
    <t>PL_ZEWD_1412001797_03</t>
  </si>
  <si>
    <t>PL_ZEWD_1412001770_01</t>
  </si>
  <si>
    <t>PL_ZEWD_1412001757_07</t>
  </si>
  <si>
    <t>PL_ZEWD_1412002088_07</t>
  </si>
  <si>
    <t>PL_ZEWD_1412001740_04</t>
  </si>
  <si>
    <t>PL_ZEWD_1412001779_09</t>
  </si>
  <si>
    <t>PL_ZEWD_1412002133_00</t>
  </si>
  <si>
    <t>PL_ZEWD_1412002092_04</t>
  </si>
  <si>
    <t>PL_ZEWD_1412001758_09</t>
  </si>
  <si>
    <t>PL_ZEWD_1412001769_00</t>
  </si>
  <si>
    <t>PL_ZEWD_1412001774_09</t>
  </si>
  <si>
    <t>PL_ZEWD_1412001802_00</t>
  </si>
  <si>
    <t>PL_ZEWD_1412001742_08</t>
  </si>
  <si>
    <t>PL_ZEWD_1412001768_08</t>
  </si>
  <si>
    <t>PL_ZEWD_1412001798_05</t>
  </si>
  <si>
    <t>PL_ZEWD_1412001764_00</t>
  </si>
  <si>
    <t>PL_ZEWD_1412001759_01</t>
  </si>
  <si>
    <t>PL_ZEWD_1412001790_09</t>
  </si>
  <si>
    <t>PL_ZEWD_1412001782_04</t>
  </si>
  <si>
    <t>PL_ZEWD_1412001752_07</t>
  </si>
  <si>
    <t>PL_ZEWD_1412001720_06</t>
  </si>
  <si>
    <t>PL_ZEWD_1412001755_03</t>
  </si>
  <si>
    <t>PL_ZEWD_1412001793_05</t>
  </si>
  <si>
    <t>PL_ZEWD_1412001787_04</t>
  </si>
  <si>
    <t>PL_ZEWD_1412001719_05</t>
  </si>
  <si>
    <t>Królewska</t>
  </si>
  <si>
    <t>PL_ZEWD_1412001794_07</t>
  </si>
  <si>
    <t>PL_ZEWD_1412001754_01</t>
  </si>
  <si>
    <t>PL_ZEWD_1412001762_06</t>
  </si>
  <si>
    <t>PL_ZEWD_1412001753_09</t>
  </si>
  <si>
    <t>PL_ZEWD_1412002271_00</t>
  </si>
  <si>
    <t>PL_ZEWD_1412001776_03</t>
  </si>
  <si>
    <t>PL_ZEWD_1412001796_01</t>
  </si>
  <si>
    <t>PL_ZEWD_1412001785_00</t>
  </si>
  <si>
    <t>PL_ZEWD_1412001775_01</t>
  </si>
  <si>
    <t>Morelowa</t>
  </si>
  <si>
    <t>PL_ZEWD_1412002071_04</t>
  </si>
  <si>
    <t>PL_ZEWD_1412002072_06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</si>
  <si>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2"/>
      </rPr>
      <t>Bilans Sprzedawcy</t>
    </r>
    <r>
      <rPr>
        <sz val="12"/>
        <color indexed="8"/>
        <rFont val="Czcionka tekstu podstawowego"/>
        <family val="2"/>
      </rPr>
      <t>)</t>
    </r>
  </si>
  <si>
    <t>Powstania Styczniowego/ Mickiew.</t>
  </si>
  <si>
    <t>Miasto Sulejówek</t>
  </si>
  <si>
    <t>05-070 Sulejówek</t>
  </si>
  <si>
    <t>Dźwigowa</t>
  </si>
  <si>
    <t>dz.4004/35</t>
  </si>
  <si>
    <t>NIP:</t>
  </si>
  <si>
    <t>Gmina Stanisławów</t>
  </si>
  <si>
    <t>ul. Rynek 32</t>
  </si>
  <si>
    <t>05-304 Stanisławów</t>
  </si>
  <si>
    <t>URD:</t>
  </si>
  <si>
    <t>GMMR_D02_O_00000242</t>
  </si>
  <si>
    <t>PL_ZEWD_1412002488_09</t>
  </si>
  <si>
    <t>Kąty Goździejewskie Pierwsze</t>
  </si>
  <si>
    <t>PL_ZEWD_1412002444_05</t>
  </si>
  <si>
    <t>PL_ZEWD_1412002543_01</t>
  </si>
  <si>
    <t>Janusza Korczaka</t>
  </si>
  <si>
    <t>PL_ZEWD_1412002546_07</t>
  </si>
  <si>
    <t>PL_ZEWD_1412002541_07</t>
  </si>
  <si>
    <t>Choszczówka Stojecka</t>
  </si>
  <si>
    <t>Choszczówka Dębska</t>
  </si>
  <si>
    <t>PL_ZEWD_1412002545_05</t>
  </si>
  <si>
    <t>PL_ZEWD_1412002542_09</t>
  </si>
  <si>
    <t>PL_ZEWD_1412002544_03</t>
  </si>
  <si>
    <t>Ostrów- Kania</t>
  </si>
  <si>
    <t>Gorzanka</t>
  </si>
  <si>
    <t>dz.557</t>
  </si>
  <si>
    <t>dz.289/1</t>
  </si>
  <si>
    <t>GMIN_ZEWD_O_00017</t>
  </si>
  <si>
    <t>Kazimierza i Hipolity Gnoińskich</t>
  </si>
  <si>
    <t>GMIN_ZEWD_O_00099</t>
  </si>
  <si>
    <t>PL_ZEWD_1412002443_03</t>
  </si>
  <si>
    <t>PL_ZEWD_1412002445_07</t>
  </si>
  <si>
    <t>Wesoła</t>
  </si>
  <si>
    <t>Boisko</t>
  </si>
  <si>
    <t>Wiatraczna</t>
  </si>
  <si>
    <t>Brzezińska</t>
  </si>
  <si>
    <t>Polna/Jaśminowa</t>
  </si>
  <si>
    <t>Sportowa</t>
  </si>
  <si>
    <t>PGR</t>
  </si>
  <si>
    <t>PL_ZEWD_1412001084_02</t>
  </si>
  <si>
    <t>PL_ZEWD_1412001058_03</t>
  </si>
  <si>
    <t>PL_ZEWD_1412002509_07</t>
  </si>
  <si>
    <t>PL_ZEWD_1412001073_01</t>
  </si>
  <si>
    <t>PL_ZEWD_1412002514_06</t>
  </si>
  <si>
    <t>PL_ZEWD_1412002511_00</t>
  </si>
  <si>
    <t>PL_ZEWD_1412002508_05</t>
  </si>
  <si>
    <t>GMIN_ZEWD_O_00038</t>
  </si>
  <si>
    <t>Ciopan</t>
  </si>
  <si>
    <t>Antoniego Kuźniarskiego</t>
  </si>
  <si>
    <t>GMIN_ZEWD_O_00018</t>
  </si>
  <si>
    <t>UGDO_D0_O_00000205</t>
  </si>
  <si>
    <t>Rąbierz- Kolonia</t>
  </si>
  <si>
    <t>Sąchocin</t>
  </si>
  <si>
    <t>Makówiec Mały</t>
  </si>
  <si>
    <t>Sikorskiego</t>
  </si>
  <si>
    <t>PL_ZEWD_1412002518_04</t>
  </si>
  <si>
    <t>PL_ZEWD_1412002520_07</t>
  </si>
  <si>
    <t>PL_ZEWD_1412002519_06</t>
  </si>
  <si>
    <t>Jana Huberta</t>
  </si>
  <si>
    <t>PL_ZEWD_1412002463_01</t>
  </si>
  <si>
    <t>PL_ZEWD_1412002466_07</t>
  </si>
  <si>
    <t>PL_ZEWD_1412002464_03</t>
  </si>
  <si>
    <t>PL_ZEWD_1412001200_08</t>
  </si>
  <si>
    <t>PL_ZEWD_1412002462_09</t>
  </si>
  <si>
    <t>PL_ZEWD_1412002460_05</t>
  </si>
  <si>
    <t>Oświetlnie uliczne</t>
  </si>
  <si>
    <t>Borek Miński</t>
  </si>
  <si>
    <t>PL_ZEWD_1412002499_00</t>
  </si>
  <si>
    <t>PL_ZEWD_1412002498_08</t>
  </si>
  <si>
    <t>ul. Mińska 15</t>
  </si>
  <si>
    <t>GMIN_ZEWD_O_00068</t>
  </si>
  <si>
    <t>Podział na strefy czasowe</t>
  </si>
  <si>
    <t>Całodobowa              [kWh]</t>
  </si>
  <si>
    <t xml:space="preserve">Szczyt                                [kWh] </t>
  </si>
  <si>
    <t>Pozaszczyt               [kWh]</t>
  </si>
  <si>
    <t>Dzień                            [kWh]</t>
  </si>
  <si>
    <t>Noc                                     [Kwh]</t>
  </si>
  <si>
    <t>Łącznie:</t>
  </si>
  <si>
    <t>PL_ZEWD_1412002732_06</t>
  </si>
  <si>
    <t>Makówiec Duży</t>
  </si>
  <si>
    <t>PL_ZEWD_1412002706_07</t>
  </si>
  <si>
    <t>Liczba PPE w podziale na grupy taryfowe</t>
  </si>
  <si>
    <t>PL_ZEWD_1412003298_09</t>
  </si>
  <si>
    <t>PL_ZEWD_1412003166_00</t>
  </si>
  <si>
    <t>Polna i Południowa</t>
  </si>
  <si>
    <t>PL_ZEWD_1412003248_04</t>
  </si>
  <si>
    <t>PL_ZEWD_1412003247_02</t>
  </si>
  <si>
    <t>Pustelnicka</t>
  </si>
  <si>
    <t>PL_ZEWD_1412003249_06</t>
  </si>
  <si>
    <t>PL_ZEWD_1412003250_07</t>
  </si>
  <si>
    <t>PL_ZEWD_1412003279_03</t>
  </si>
  <si>
    <t>PL_ZEWD_1412003177_01</t>
  </si>
  <si>
    <t>Księcia Józefa Poniatowskiego</t>
  </si>
  <si>
    <t>PL_ZEWD_1412003239_07</t>
  </si>
  <si>
    <t>PL_ZEWD_1412003238_05</t>
  </si>
  <si>
    <t>PL_ZEWD_1412001610_09</t>
  </si>
  <si>
    <t>0708</t>
  </si>
  <si>
    <t>PL_ZEWD_1412003246_00</t>
  </si>
  <si>
    <t>PL_ZEWD_1412003242_02</t>
  </si>
  <si>
    <t>PL_ZEWD_1412003241_00</t>
  </si>
  <si>
    <t>PL_ZEWD_1412003245_08</t>
  </si>
  <si>
    <t>PL_ZEWD_1412003240_08</t>
  </si>
  <si>
    <t>PL_ZEWD_1412003243_04</t>
  </si>
  <si>
    <t>PL_ZEWD_1412003244_06</t>
  </si>
  <si>
    <t>Konik Stary</t>
  </si>
  <si>
    <t>Trakt Brzeski</t>
  </si>
  <si>
    <t>przy nr 7</t>
  </si>
  <si>
    <t>obok st.1167</t>
  </si>
  <si>
    <t>Nowe Zalesie</t>
  </si>
  <si>
    <t>PL_ZEWD_1412003377_07</t>
  </si>
  <si>
    <t>Lasomin</t>
  </si>
  <si>
    <t>PL_ZEWD_1412003378_09</t>
  </si>
  <si>
    <t>PL_ZEWD_1412003379_01</t>
  </si>
  <si>
    <t>PL_ZEWD_1412002141_05</t>
  </si>
  <si>
    <t>PL_ZEWD_1412003179_05</t>
  </si>
  <si>
    <t>PL_ZEWD_1412002144_01</t>
  </si>
  <si>
    <t>PL_ZEWD_1412002516_00</t>
  </si>
  <si>
    <t>PL_ZEWD_1412003202_06</t>
  </si>
  <si>
    <t>GMIN_ZEWD_O_00058</t>
  </si>
  <si>
    <t>PL_ZEWD_1412003258_03</t>
  </si>
  <si>
    <t>PL_ZEWD_1412003262_00</t>
  </si>
  <si>
    <t>PL_ZEWD_1412003259_05</t>
  </si>
  <si>
    <t>PL_ZEWD_1412003264_04</t>
  </si>
  <si>
    <t>PL_ZEWD_1412003261_08</t>
  </si>
  <si>
    <t>PL_ZEWD_1412003263_02</t>
  </si>
  <si>
    <t>05-335 Latowicz</t>
  </si>
  <si>
    <t>Gmina Cegłów</t>
  </si>
  <si>
    <t>MIAS_ZEWD_O_00013</t>
  </si>
  <si>
    <t>Miłosna</t>
  </si>
  <si>
    <t>Bema Józefa</t>
  </si>
  <si>
    <t>Trafo 0949</t>
  </si>
  <si>
    <t xml:space="preserve">Czynu Społecznego Andersa </t>
  </si>
  <si>
    <t>PL_ZEWD_1412003157_03</t>
  </si>
  <si>
    <t>PL_ZEWD_1412003158_05</t>
  </si>
  <si>
    <t>GMIN_ZEWD_O_00083</t>
  </si>
  <si>
    <t>822-215-88-23</t>
  </si>
  <si>
    <t>PL_ZEWD_1412003632_05</t>
  </si>
  <si>
    <t>Szyszkowa</t>
  </si>
  <si>
    <t>PL_ZEWD_1412003674_05</t>
  </si>
  <si>
    <t>PL_ZEWD_1412003675_07</t>
  </si>
  <si>
    <t>PL_ZEWD_1412003671_09</t>
  </si>
  <si>
    <t>PL_ZEWD_1412003670_07</t>
  </si>
  <si>
    <t>PL_ZEWD_1412003673_03</t>
  </si>
  <si>
    <t>PL_ZEWD_1412003621_04</t>
  </si>
  <si>
    <t>822-214-65-99</t>
  </si>
  <si>
    <t>Ośiwetlenie uliczne</t>
  </si>
  <si>
    <t>dz. 2649/3, 2657/3, 2649/1</t>
  </si>
  <si>
    <t>Gołębiowskiego</t>
  </si>
  <si>
    <t>103 Batalionu Strzelców</t>
  </si>
  <si>
    <t>Błękitna</t>
  </si>
  <si>
    <t>dz. 116, 119, 123, 128, 132, 135, 137, 140</t>
  </si>
  <si>
    <t xml:space="preserve">Budy </t>
  </si>
  <si>
    <t xml:space="preserve">Dębe </t>
  </si>
  <si>
    <t>PL_ZEWD_1412003610_03</t>
  </si>
  <si>
    <t>dz.362</t>
  </si>
  <si>
    <t>Wólka Wybraniecka</t>
  </si>
  <si>
    <t>Szczegółowy Opis Przedmiotu Zamówienia - Gmina Kotuń</t>
  </si>
  <si>
    <t>08-130</t>
  </si>
  <si>
    <t>Kotuń</t>
  </si>
  <si>
    <t>Gmina Kotuń</t>
  </si>
  <si>
    <t>ul. Siedlecka 56c</t>
  </si>
  <si>
    <t>GMIN_ZEWD_O_00124</t>
  </si>
  <si>
    <t>PL_ZEWD_1426000681_06</t>
  </si>
  <si>
    <t xml:space="preserve">Niechnabrz </t>
  </si>
  <si>
    <t>PL_ZEWD_1426000688_00</t>
  </si>
  <si>
    <t>PL_ZEWD_1426000650_07</t>
  </si>
  <si>
    <t>Kępa Żeliszewska</t>
  </si>
  <si>
    <t>PL_ZEWD_1426000686_06</t>
  </si>
  <si>
    <t>Koszewnica</t>
  </si>
  <si>
    <t>PL_ZEWD_1426000744_04</t>
  </si>
  <si>
    <t>Krępa</t>
  </si>
  <si>
    <t>PL_ZEWD_1426000743_02</t>
  </si>
  <si>
    <t>PL_ZEWD_1426000692_07</t>
  </si>
  <si>
    <t>PL_ZEWD_1426000693_09</t>
  </si>
  <si>
    <t>Oleksin</t>
  </si>
  <si>
    <t>PL_ZEWD_1426001143_01</t>
  </si>
  <si>
    <t>PL_ZEWD_1426000677_09</t>
  </si>
  <si>
    <t>PL_ZEWD_1426000674_03</t>
  </si>
  <si>
    <t>PL_ZEWD_1426000658_03</t>
  </si>
  <si>
    <t>Ryczyca</t>
  </si>
  <si>
    <t>PL_ZEWD_1426000694_01</t>
  </si>
  <si>
    <t>Albinów</t>
  </si>
  <si>
    <t>PL_ZEWD_1426001007_05</t>
  </si>
  <si>
    <t>PL_ZEWD_1426000671_07</t>
  </si>
  <si>
    <t>Sosnowe</t>
  </si>
  <si>
    <t>PL_ZEWD_1426000666_08</t>
  </si>
  <si>
    <t>Pieróg</t>
  </si>
  <si>
    <t>PL_ZEWD_1426000712_03</t>
  </si>
  <si>
    <t>PL_ZEWD_1426000652_01</t>
  </si>
  <si>
    <t>Trzemuszka</t>
  </si>
  <si>
    <t>PL_ZEWD_1426000682_08</t>
  </si>
  <si>
    <t>Żeliszew Duży</t>
  </si>
  <si>
    <t>PL_ZEWD_1426000667_00</t>
  </si>
  <si>
    <t>PL_ZEWD_1426000653_03</t>
  </si>
  <si>
    <t>PL_ZEWD_1426000649_06</t>
  </si>
  <si>
    <t>Czarnowąż</t>
  </si>
  <si>
    <t>PL_ZEWD_1426001621_09</t>
  </si>
  <si>
    <t>Polaki</t>
  </si>
  <si>
    <t>PL_ZEWD_1426000691_05</t>
  </si>
  <si>
    <t>Broszków</t>
  </si>
  <si>
    <t>PL_ZEWD_1426000890_09</t>
  </si>
  <si>
    <t>Gręzów</t>
  </si>
  <si>
    <t>PL_ZEWD_1426000690_03</t>
  </si>
  <si>
    <t>PL_ZEWD_1426000689_02</t>
  </si>
  <si>
    <t>Wiesława Walczewskiego</t>
  </si>
  <si>
    <t>PL_ZEWD_1426000909_04</t>
  </si>
  <si>
    <t>PL_ZEWD_1426000907_00</t>
  </si>
  <si>
    <t>PL_ZEWD_1426000680_04</t>
  </si>
  <si>
    <t>Nowa Dąbrówka</t>
  </si>
  <si>
    <t>PL_ZEWD_1426000687_08</t>
  </si>
  <si>
    <t>PL_ZEWD_1426000905_06</t>
  </si>
  <si>
    <t>PL_ZEWD_1426000914_03</t>
  </si>
  <si>
    <t>Oświetlenie uliczne - oczyszczalnia</t>
  </si>
  <si>
    <t>PL_ZEWD_1426000903_02</t>
  </si>
  <si>
    <t>PL_ZEWD_1426000684_02</t>
  </si>
  <si>
    <t>PL_ZEWD_1426000902_00</t>
  </si>
  <si>
    <t>PL_ZEWD_1426000901_08</t>
  </si>
  <si>
    <t>PL_ZEWD_1426000892_03</t>
  </si>
  <si>
    <t>Weterynaryjna</t>
  </si>
  <si>
    <t>PL_ZEWD_1426000709_08</t>
  </si>
  <si>
    <t>PL_ZEWD_1426000891_01</t>
  </si>
  <si>
    <t>PL_ZEWD_1426000911_07</t>
  </si>
  <si>
    <t>Żeliszew Kol.</t>
  </si>
  <si>
    <t>PL_ZEWD_1426000669_04</t>
  </si>
  <si>
    <t>PL_ZEWD_1426000596_07</t>
  </si>
  <si>
    <t>Łęki</t>
  </si>
  <si>
    <t>PL_ZEWD_1426001142_09</t>
  </si>
  <si>
    <t>PL_ZEWD_1426001145_05</t>
  </si>
  <si>
    <t>Łączka</t>
  </si>
  <si>
    <t>PL_ZEWD_1426001110_08</t>
  </si>
  <si>
    <t>PL_ZEWD_1426000679_03</t>
  </si>
  <si>
    <t>Żdżar</t>
  </si>
  <si>
    <t>PL_ZEWD_1426000648_04</t>
  </si>
  <si>
    <t>PL_ZEWD_1426000663_02</t>
  </si>
  <si>
    <t>Sionna</t>
  </si>
  <si>
    <t>PL_ZEWD_1426000668_02</t>
  </si>
  <si>
    <t>Jagodne</t>
  </si>
  <si>
    <t>PL_ZEWD_1426000852_07</t>
  </si>
  <si>
    <t>PL_ZEWD_1426001144_03</t>
  </si>
  <si>
    <t>Wilczonek</t>
  </si>
  <si>
    <t>PL_ZEWD_1426000710_09</t>
  </si>
  <si>
    <t>Mingosy</t>
  </si>
  <si>
    <t>PL_ZEWD_1426000664_04</t>
  </si>
  <si>
    <t>PL_ZEWD_1426000655_07</t>
  </si>
  <si>
    <t>PL_ZEWD_1426000657_01</t>
  </si>
  <si>
    <t>Bojmie</t>
  </si>
  <si>
    <t>PL_ZEWD_1426001008_07</t>
  </si>
  <si>
    <t>PL_ZEWD_1426000651_09</t>
  </si>
  <si>
    <t>PL_ZEWD_1426000654_05</t>
  </si>
  <si>
    <t>PL_ZEWD_1412003729_08</t>
  </si>
  <si>
    <t>PL_ZEWD_1412003731_01</t>
  </si>
  <si>
    <t>Mińska</t>
  </si>
  <si>
    <t>PL_ZEWD_1412003735_09</t>
  </si>
  <si>
    <t>PL_ZEWD_1412003733_05</t>
  </si>
  <si>
    <t>PL_ZEWD_1412003732_03</t>
  </si>
  <si>
    <t>PL_ZEWD_1412003730_09</t>
  </si>
  <si>
    <t>PL_ZEWD_1412003740_08</t>
  </si>
  <si>
    <t>Janów Kolonia</t>
  </si>
  <si>
    <t>PL_ZEWD_1412003741_00</t>
  </si>
  <si>
    <t>PL_ZEWD_1412003736_01</t>
  </si>
  <si>
    <t>PL_ZEWD_1412003739_07</t>
  </si>
  <si>
    <t>PL_ZEWD_1412003738_05</t>
  </si>
  <si>
    <t>PL_ZEWD_1412003734_07</t>
  </si>
  <si>
    <t>PL_ZEWD_1412003743_04</t>
  </si>
  <si>
    <t>dz. 445/7, 445/1, 662, 443, 444, 439/3, 440, 442</t>
  </si>
  <si>
    <t>PL_ZEWD_1412003744_06</t>
  </si>
  <si>
    <t>Karolina - Kolonia</t>
  </si>
  <si>
    <t>Zakole - Wiktorowo</t>
  </si>
  <si>
    <t>Gmina Siennica</t>
  </si>
  <si>
    <t>GMIN_ZEWD_O_00059</t>
  </si>
  <si>
    <t>PL_ZEWD_1412002528_03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</si>
  <si>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0"/>
      </rPr>
      <t>Bilans Sprzedawcy</t>
    </r>
    <r>
      <rPr>
        <sz val="12"/>
        <color indexed="8"/>
        <rFont val="Czcionka tekstu podstawowego"/>
        <family val="0"/>
      </rPr>
      <t>)</t>
    </r>
  </si>
  <si>
    <t>kolejności zmiany Sprzedawcy, terminów rozwiązania umów kompleksowych oraz terminów rozpoczęcia sprzedaży wynikających ze skuteczności rozwiązania umów kompleksowych dla PPE Zamawiającego</t>
  </si>
  <si>
    <t>Jednostka Samorządu Terytorialnego</t>
  </si>
  <si>
    <t>Liczba punktów poboru energii</t>
  </si>
  <si>
    <t>Gmina Kałuszyn</t>
  </si>
  <si>
    <t>ul. Adama Mickiewicza 35</t>
  </si>
  <si>
    <t>MIAS_ZEWD_O_00003</t>
  </si>
  <si>
    <t>822-21-46-576</t>
  </si>
  <si>
    <t>ul. Spółdzielcza 1</t>
  </si>
  <si>
    <t>Urząd Gminy w Siennicy</t>
  </si>
  <si>
    <t>822-21-48-747</t>
  </si>
  <si>
    <t>ul. Dworcowa 55</t>
  </si>
  <si>
    <t>822-21-46-607</t>
  </si>
  <si>
    <t xml:space="preserve"> Gmina Dobre</t>
  </si>
  <si>
    <t>Urząd Miejski</t>
  </si>
  <si>
    <t>822-215-88-17</t>
  </si>
  <si>
    <t>08-130 Kotuń</t>
  </si>
  <si>
    <t xml:space="preserve"> 822-21-46-613</t>
  </si>
  <si>
    <t>PL_ZEWD_1412003929_04</t>
  </si>
  <si>
    <t>PL_ZEWD_1412000530_02</t>
  </si>
  <si>
    <t xml:space="preserve">Piłsudskiego </t>
  </si>
  <si>
    <t>Ośw. Studnia głębinowa</t>
  </si>
  <si>
    <t>Ul. Kościuszki 4</t>
  </si>
  <si>
    <t>Urząd Gminy Cegłów</t>
  </si>
  <si>
    <t>Ul. Tadeusza Kościuszki  4</t>
  </si>
  <si>
    <t>PL_ZEWD_1412005168_08</t>
  </si>
  <si>
    <t>Gmina Cegłów oświetlenie uliczne</t>
  </si>
  <si>
    <t>PL_ZEWD_1412003752_01</t>
  </si>
  <si>
    <t>PL_ZEWD_1412003751_09</t>
  </si>
  <si>
    <t>Budy Wielgoleskie</t>
  </si>
  <si>
    <t>PL_ZEWD_1412003945_04</t>
  </si>
  <si>
    <t>PL_ZEWD_1412003946_06</t>
  </si>
  <si>
    <t>PL_ZEWD_1412003940_04</t>
  </si>
  <si>
    <t>PL_ZEWD_1412003942_08</t>
  </si>
  <si>
    <t>PL_ZEWD_1412003943_00</t>
  </si>
  <si>
    <t>PL_ZEWD_1412003944_02</t>
  </si>
  <si>
    <t>Kąty Goździejewskie I</t>
  </si>
  <si>
    <t>PL_ZEWD_1412003909_06</t>
  </si>
  <si>
    <t>Orla</t>
  </si>
  <si>
    <t>dz. Nr 1 z obr. 41 
nr 159 z obr. 38</t>
  </si>
  <si>
    <t>dz. 75/4 dz. 186 obr. 25</t>
  </si>
  <si>
    <t>Sasankowa</t>
  </si>
  <si>
    <t>dz. Nr 62-52/48/1,63-1</t>
  </si>
  <si>
    <t>Choiny 
(st. 0617-Choiny I)</t>
  </si>
  <si>
    <t>Choiny (st. 0700- choiny k. Pustelnika)</t>
  </si>
  <si>
    <t>Cisówka (st. 0699 Cisówka II)</t>
  </si>
  <si>
    <t>Cisówka (st. 0698 Cisówka I)</t>
  </si>
  <si>
    <t>Pustelnik (st 1207 Pustelnik 5)</t>
  </si>
  <si>
    <t>Zalesie (st. 1046 Zalesie 3)</t>
  </si>
  <si>
    <t>Zalesie (st. 0376 Zalesie 2 k. Stanisławowa)</t>
  </si>
  <si>
    <t>Zalesie (st. 1045 Zalesie 1)</t>
  </si>
  <si>
    <t>Łęka (st. 0858 Łęka 1)</t>
  </si>
  <si>
    <t>Łęka (st. 0859 Łęka 2)</t>
  </si>
  <si>
    <t>Pustelnik (st. 0288 Pustelnik 2)</t>
  </si>
  <si>
    <t>Pustelnik (st. 0287 Pustelnik 1)</t>
  </si>
  <si>
    <t>Pustelnik (st. 1087 Pustelnik SZ.)</t>
  </si>
  <si>
    <t>Goździówka (st. 0315 Goździówka)</t>
  </si>
  <si>
    <t>Porąb (st. 0683 Katarzynów)</t>
  </si>
  <si>
    <t>Stanisławów (st. 0317 Stanisławów Targowa)</t>
  </si>
  <si>
    <t>Stanisławów (st. 0318 Stanisławów Młynarska 4)</t>
  </si>
  <si>
    <t>Stanisławów (st. 0139 Stanisławów Osada)</t>
  </si>
  <si>
    <t>Stanisławów (st. 0656 Stanisławów MBM)</t>
  </si>
  <si>
    <t>Stanisławów (st. 0488 Stanisławów Szkolna)</t>
  </si>
  <si>
    <t>Mały Stanisławów (st. 0141 Stanisławów Mały)</t>
  </si>
  <si>
    <t>Stanisławów (st. 0441 Stanisławów Okuniewska)</t>
  </si>
  <si>
    <t>Stanisławów (st. 1073 Stanisławów - Osiedle)</t>
  </si>
  <si>
    <t>Kolonie Stanisławów (st. 0839 Stanisławów Kol 4)</t>
  </si>
  <si>
    <t>Kolonie Stanisławów (st. 0840 Stanisławów kol 5)</t>
  </si>
  <si>
    <t>Borek Czarniński (st. 0342 Borek 1)</t>
  </si>
  <si>
    <t>Szymankowszczyzna ( st. 0342 Borek 1)</t>
  </si>
  <si>
    <t>Czarna (st. 1098 Czarna 2)</t>
  </si>
  <si>
    <t>Szymankowszczyzna (st. 0735 Szym.)</t>
  </si>
  <si>
    <t>Legacz (st. 1047 Legacz 2)</t>
  </si>
  <si>
    <t>Legacz (st. 0377 Legacz 1)</t>
  </si>
  <si>
    <t>Lubomin (st. 1077 Lubomin 2)</t>
  </si>
  <si>
    <t>Wólka Czarnińska (st. 1075 Wólka Cz. 3)</t>
  </si>
  <si>
    <t>Wólka Czarnińska (st. 1076 Wólka Cz. 4)</t>
  </si>
  <si>
    <t>Ładzyń (st. 01 38 Ładzyń 1)</t>
  </si>
  <si>
    <t>Ładzyń (st. 0212 Ładzyń 3)</t>
  </si>
  <si>
    <t>Ładzyń (st. 0580 Ładzyń KR)</t>
  </si>
  <si>
    <t>Wólka Piecząca (st. 0356 Wólka P. 1)</t>
  </si>
  <si>
    <t>Wólka Piecząca (st. 1074 Wólka P. 2)</t>
  </si>
  <si>
    <t>Papiernia (st. 0626 Papiernia 1)</t>
  </si>
  <si>
    <t>Retków (st. 0140 Retków)</t>
  </si>
  <si>
    <t>Rządza (st. 0545 Rządza 2)</t>
  </si>
  <si>
    <t>Rządza (st. 0143 Rządza 1)</t>
  </si>
  <si>
    <t>Suchowizna (st. 0892 Suchowizna 2)</t>
  </si>
  <si>
    <t>Suchowizna (st. 0891 Suchowizna 1)</t>
  </si>
  <si>
    <t>Wólka Czarnińska (st. 0359 Wólka Cz. 1)</t>
  </si>
  <si>
    <t>Sokóle (st. 0142 Sokóle 1)</t>
  </si>
  <si>
    <t>Sokóle (st. 0144 Sokóle 2)</t>
  </si>
  <si>
    <t>Wólka Konstancja (st. 0893 Wólka Konstancja )</t>
  </si>
  <si>
    <t>PL_ZEWD_1412003903_04</t>
  </si>
  <si>
    <t>PL_ZEWD_1412003902_02</t>
  </si>
  <si>
    <t>PL_ZEWD_1412003901_00</t>
  </si>
  <si>
    <t>Stanisławów (st. 0316 Warszawska 2)</t>
  </si>
  <si>
    <t>Prądzewo-Kopaczewo (st. 489 Kopaczewo)</t>
  </si>
  <si>
    <t>ul. Tadeusza Kościuszki 1</t>
  </si>
  <si>
    <t>URZA_ZEWD_O_00011</t>
  </si>
  <si>
    <t>Stary Konik</t>
  </si>
  <si>
    <t>PL_ZEWD_1412003973_07</t>
  </si>
  <si>
    <t>Szczęśliwa</t>
  </si>
  <si>
    <t>dz.14,71</t>
  </si>
  <si>
    <t>Grabińska</t>
  </si>
  <si>
    <t>dz. 30/14 30/15, 32</t>
  </si>
  <si>
    <t>PL_ZEWD_1412003756_09</t>
  </si>
  <si>
    <t>Prusy</t>
  </si>
  <si>
    <t>PL_ZEWD_1412003757_01</t>
  </si>
  <si>
    <t>PL_ZEWD_1412003976_03</t>
  </si>
  <si>
    <t>Świerkowa</t>
  </si>
  <si>
    <t>PL_ZEWD_1412003974_09</t>
  </si>
  <si>
    <t>PL_ZEWD_1412003975_01</t>
  </si>
  <si>
    <t>Majowa</t>
  </si>
  <si>
    <t>PL_ZEWD_1412068207_07</t>
  </si>
  <si>
    <t>`</t>
  </si>
  <si>
    <t>Dr. Jana Huberta</t>
  </si>
  <si>
    <t>Razem:</t>
  </si>
  <si>
    <t>PL_ZEWD_1412005169_00</t>
  </si>
  <si>
    <t>PL_ZEWD_1412003993_05</t>
  </si>
  <si>
    <t>dz.344</t>
  </si>
  <si>
    <t>PL_ZEWD_1412003992_03</t>
  </si>
  <si>
    <t>PL_ZEWD_1426001622_01</t>
  </si>
  <si>
    <t>dz. 1747</t>
  </si>
  <si>
    <t xml:space="preserve">05-311 </t>
  </si>
  <si>
    <t>Adresat, Odbiorca, Płatnik:</t>
  </si>
  <si>
    <t>identyfikacji PPE Zamawiającego ze wskazaniem Nabywców, Adresatów, Odbiorców i Płatników faktur</t>
  </si>
  <si>
    <t>dz. 4/33, 140, 3/24, 3/27, 3/30, 4/27</t>
  </si>
  <si>
    <t>05-071</t>
  </si>
  <si>
    <t>PL_ZEWD_1412004214_06</t>
  </si>
  <si>
    <t>PL_ZEWD_1412004209_07</t>
  </si>
  <si>
    <t>PL_ZEWD_1412068860_05</t>
  </si>
  <si>
    <t>PL_ZEWD_1412004213_04</t>
  </si>
  <si>
    <t>213/6, 212</t>
  </si>
  <si>
    <t>Bluszczowa</t>
  </si>
  <si>
    <t>dz. 392/1</t>
  </si>
  <si>
    <t>Pogodna</t>
  </si>
  <si>
    <t>Środkowa</t>
  </si>
  <si>
    <t>Dworcowa</t>
  </si>
  <si>
    <t>dz. Nr 346/1</t>
  </si>
  <si>
    <t>PL_ZEWD_1426032565_00</t>
  </si>
  <si>
    <t>PL_ZEWD_1426003449_01</t>
  </si>
  <si>
    <t>Cisie Zagrudzie</t>
  </si>
  <si>
    <t>PL_ZEWD_1426033027_05</t>
  </si>
  <si>
    <t>PL_ZEWD_1426033025_01</t>
  </si>
  <si>
    <t>PL_ZEWD_1426033023_07</t>
  </si>
  <si>
    <t>PL_ZEWD_1426033022_05</t>
  </si>
  <si>
    <t>PL_ZEWD_1426033021_03</t>
  </si>
  <si>
    <t>05-400</t>
  </si>
  <si>
    <t>PL_ZEWD_1412070050_02</t>
  </si>
  <si>
    <t>Cisówka</t>
  </si>
  <si>
    <t>PL_ZEWD_1412070051_04</t>
  </si>
  <si>
    <t>Zawiesiuchy (st. 0658 Zawiesiuchy PGR)</t>
  </si>
  <si>
    <t>Gmina Kałuszyn z siedzibą Urząd Miejski w Kałuszynie</t>
  </si>
  <si>
    <t>GMIN_ZEWD_O_00091</t>
  </si>
  <si>
    <t>PL_ZEWD_1412003906_00</t>
  </si>
  <si>
    <t>05-305</t>
  </si>
  <si>
    <t>dz. 429, 51/2</t>
  </si>
  <si>
    <t>dz. 187</t>
  </si>
  <si>
    <t>dz. 75</t>
  </si>
  <si>
    <t>dz. 372</t>
  </si>
  <si>
    <t>Choszczówka Rudzka</t>
  </si>
  <si>
    <t>370/2</t>
  </si>
  <si>
    <t>PL_ZEWD_1412003941_06</t>
  </si>
  <si>
    <t>PL_ZEWD_1412005066_06</t>
  </si>
  <si>
    <t>PL_ZEWD_1412005068_00</t>
  </si>
  <si>
    <t>PL_ZEWD_1412005067_08</t>
  </si>
  <si>
    <t>PL_ZEWD_1412069413_01</t>
  </si>
  <si>
    <t>PL_ZEWD_1412069675_05</t>
  </si>
  <si>
    <t>PL_ZEWD_1412069414_03</t>
  </si>
  <si>
    <t>PL_ZEWD_1412000531_04</t>
  </si>
  <si>
    <t>PL_ZEWD_1412069961_02</t>
  </si>
  <si>
    <t>Nowe osiny</t>
  </si>
  <si>
    <t>PL_ZEWD_1412069960_00</t>
  </si>
  <si>
    <t>Urząd Miasta i Gminy Mrozy</t>
  </si>
  <si>
    <t>PL_ZEWD_1412006629_01</t>
  </si>
  <si>
    <t>dz. Nr. 75</t>
  </si>
  <si>
    <t>Tulipanowa</t>
  </si>
  <si>
    <t>PL_ZEWD_1412004808_03</t>
  </si>
  <si>
    <t>PL_ZEWD_1412004807_01</t>
  </si>
  <si>
    <t>PL_ZEWD_1412004650_06</t>
  </si>
  <si>
    <t>Osiedlowa</t>
  </si>
  <si>
    <t>dz. 42-212</t>
  </si>
  <si>
    <t>PL_ZEWD_1412068453_00</t>
  </si>
  <si>
    <t>PL_ZEWD_1412000828_03</t>
  </si>
  <si>
    <t>PL_ZEWD_1412000833_02</t>
  </si>
  <si>
    <t>Prognozowany łączny wolumen zużycia energii elektrycznej w podziale na grupy taryfowe</t>
  </si>
  <si>
    <t>Ul. Konstytucji 3 Maja 1</t>
  </si>
  <si>
    <t>ul. Konstytucji 3 Maja 1</t>
  </si>
  <si>
    <t>Konstytucji 3 Maja - Przedszk.</t>
  </si>
  <si>
    <t>Załącznik nr 1a do Umowy sprzedaży energii elektrycznej czynnej nr……………………………………………………... - Oświetlenie dróg i placów</t>
  </si>
  <si>
    <t>PL_ZEWD_1426033063_03</t>
  </si>
  <si>
    <t>Gorzkowskiego</t>
  </si>
  <si>
    <t>PL_ZEWD_1426033099_02</t>
  </si>
  <si>
    <t>dz. Nr 494/2</t>
  </si>
  <si>
    <t>PL_ZEWD_1426033438_08</t>
  </si>
  <si>
    <t>PL_ZEWD_1426033399_06</t>
  </si>
  <si>
    <t>Zasil parku</t>
  </si>
  <si>
    <t>dz. 945</t>
  </si>
  <si>
    <t>Grobelnego</t>
  </si>
  <si>
    <t>dz. 5295/6
dz. 5298/2</t>
  </si>
  <si>
    <t>dz. 949/1</t>
  </si>
  <si>
    <t>03-90182882</t>
  </si>
  <si>
    <t>dz. 140/2 dz. 621/2</t>
  </si>
  <si>
    <t>PL_ZEWD_1412071557_03</t>
  </si>
  <si>
    <t>Semanowicza</t>
  </si>
  <si>
    <t>PL_ZEWD_1412068475_02</t>
  </si>
  <si>
    <t>PL_ZEWD_1412068416_00</t>
  </si>
  <si>
    <t>PL_ZEWD_1412068415_08</t>
  </si>
  <si>
    <t>dz. 208</t>
  </si>
  <si>
    <t>PL_ZEWD_1412070510_06</t>
  </si>
  <si>
    <t>PL_ZEWD_1412069865_02</t>
  </si>
  <si>
    <t>PL_ZEWD_1412069864_00</t>
  </si>
  <si>
    <t>PL_ZEWD_1412070125_03</t>
  </si>
  <si>
    <t>PL_ZEWD_1412070024_03</t>
  </si>
  <si>
    <t>PL_ZEWD_1412069867_06</t>
  </si>
  <si>
    <t>dz.32,35 3/44</t>
  </si>
  <si>
    <t>PL_ZEWD_1412069704_08</t>
  </si>
  <si>
    <t>PL_ZEWD_1412069866_04</t>
  </si>
  <si>
    <t>Lazurowa</t>
  </si>
  <si>
    <t>dz. 250/2</t>
  </si>
  <si>
    <t>PL_ZEWD_1412072032_02</t>
  </si>
  <si>
    <t>Szafirka</t>
  </si>
  <si>
    <t>dz. 26</t>
  </si>
  <si>
    <t>PL_ZEWD_1412071698_09</t>
  </si>
  <si>
    <t>PL_ZEWD_1412068957_08</t>
  </si>
  <si>
    <t>dz. 250</t>
  </si>
  <si>
    <t>PL_ZEWD_1412068960_03</t>
  </si>
  <si>
    <t>dz. 470</t>
  </si>
  <si>
    <t>PL_ZEWD_1412071858_09</t>
  </si>
  <si>
    <t>Grzebowilk</t>
  </si>
  <si>
    <t>dz. 345/7</t>
  </si>
  <si>
    <t>PL_ZEWD_1412071597_09</t>
  </si>
  <si>
    <t>dz. 595</t>
  </si>
  <si>
    <t>PL_ZEWD_1412071598_01</t>
  </si>
  <si>
    <t>dz nr 707</t>
  </si>
  <si>
    <t>PL_ZEWD_1426001922_05</t>
  </si>
  <si>
    <t xml:space="preserve">Kępa </t>
  </si>
  <si>
    <t>PL_ZEWD_1426033687_07</t>
  </si>
  <si>
    <t>PL_ZEWD_1426033688_09</t>
  </si>
  <si>
    <t>Oczyszczalnia</t>
  </si>
  <si>
    <t>06-0758</t>
  </si>
  <si>
    <t>PL_ZEWD_1426000950_01</t>
  </si>
  <si>
    <t>PL_ZEWD_1412069984_06</t>
  </si>
  <si>
    <t>Osiny Nowe</t>
  </si>
  <si>
    <t>PL_ZEWD_1412070988_07</t>
  </si>
  <si>
    <t>PL_ZEWD_1412070989_09</t>
  </si>
  <si>
    <t>PL_ZEWD_1412070994_08</t>
  </si>
  <si>
    <t>leńna</t>
  </si>
  <si>
    <t>PL_ZEWD_1412070996_02</t>
  </si>
  <si>
    <t>Wólka Iłówiecka</t>
  </si>
  <si>
    <t>PL_ZEWD_1412069788_08</t>
  </si>
  <si>
    <t>PL_ZEWD_1412069820_06</t>
  </si>
  <si>
    <t>PL_ZEWD_1412007825_06</t>
  </si>
  <si>
    <t>dz 99</t>
  </si>
  <si>
    <t>Jesienna</t>
  </si>
  <si>
    <t>dz 860/2</t>
  </si>
  <si>
    <t>dz 25/3</t>
  </si>
  <si>
    <t>dz 143</t>
  </si>
  <si>
    <t>PL_ZEWD_1412070933_02</t>
  </si>
  <si>
    <t>dz 329</t>
  </si>
  <si>
    <t>Kąty Goździejewskie Drugie</t>
  </si>
  <si>
    <t>PL_ZEWD_1412070935_06</t>
  </si>
  <si>
    <t>Brukowa</t>
  </si>
  <si>
    <t>PL_ZEWD_1412071290_01</t>
  </si>
  <si>
    <t>dz. 929</t>
  </si>
  <si>
    <t>PL_ZEWD_1412071291_03</t>
  </si>
  <si>
    <t>Poręby</t>
  </si>
  <si>
    <t>dz 48</t>
  </si>
  <si>
    <t>PL_ZEWD_1412071288_08</t>
  </si>
  <si>
    <t>dz 320/10</t>
  </si>
  <si>
    <t>PL_ZEWD_1412070934_04</t>
  </si>
  <si>
    <t>Ośwetlenie ulic</t>
  </si>
  <si>
    <t>dz 1765, 1768</t>
  </si>
  <si>
    <t>dz 455. 52/1 20/1</t>
  </si>
  <si>
    <t>PL_ZEWD_1412071444_00</t>
  </si>
  <si>
    <t>Porąb</t>
  </si>
  <si>
    <t>dz 365</t>
  </si>
  <si>
    <t>PL_ZEWD_1412071918_01</t>
  </si>
  <si>
    <t>dz 650/1, 742</t>
  </si>
  <si>
    <t>PL_ZEWD_1412072097_06</t>
  </si>
  <si>
    <t>Prognoza zużycia energii elektrycznej czynnej na rok 2020      [kWh]</t>
  </si>
  <si>
    <t>PL_ZEWD_1412002490_02</t>
  </si>
  <si>
    <t>PL_ZEWD_1412069190_03</t>
  </si>
  <si>
    <t>dz.1584</t>
  </si>
  <si>
    <t>Lokale niemieszkalne</t>
  </si>
  <si>
    <t>PL_ZEWD_1412000375_02</t>
  </si>
  <si>
    <t>10A</t>
  </si>
  <si>
    <t>Plac zabaw</t>
  </si>
  <si>
    <t>dz. Nr 99</t>
  </si>
  <si>
    <t xml:space="preserve">05-319 </t>
  </si>
  <si>
    <t>PL_ZEWD_1412071576_09</t>
  </si>
  <si>
    <t>dz. 664</t>
  </si>
  <si>
    <t>PL_ZEWD_1426033848_09</t>
  </si>
  <si>
    <t xml:space="preserve">Pieńki </t>
  </si>
  <si>
    <t>Pieńki</t>
  </si>
  <si>
    <t>Żeliszew Pokościelny</t>
  </si>
  <si>
    <t>Łagodne</t>
  </si>
  <si>
    <t>dz. 592</t>
  </si>
  <si>
    <t>dz. 626</t>
  </si>
  <si>
    <t>Marysin</t>
  </si>
  <si>
    <t>dz. 662</t>
  </si>
  <si>
    <t>PL_ZEWD_1426034049_04</t>
  </si>
  <si>
    <t>PL_ZEWD_1412070944_03</t>
  </si>
  <si>
    <t>PL_ZEWD_1412071472_03</t>
  </si>
  <si>
    <t>PL_ZEWD_1412071051_01</t>
  </si>
  <si>
    <t>Ryczołek</t>
  </si>
  <si>
    <t>Rondo im. Ks. Stanisława Brzóski</t>
  </si>
  <si>
    <t>dz. Nr 192</t>
  </si>
  <si>
    <t>PL_ZEWD_1412003907_02</t>
  </si>
  <si>
    <t>Rąbierz Kolonia</t>
  </si>
  <si>
    <t>dz. 257/1</t>
  </si>
  <si>
    <t>PL_ZEWD_1412073020_06</t>
  </si>
  <si>
    <t>Adamów</t>
  </si>
  <si>
    <t>dz. 644/2 dz. 166</t>
  </si>
  <si>
    <t>PL_ZEWD_1412072688_07</t>
  </si>
  <si>
    <t>dz. 201 dz. 277/2</t>
  </si>
  <si>
    <t>PL_ZEWD_1412072687_05</t>
  </si>
  <si>
    <t>dz. 175/2</t>
  </si>
  <si>
    <t>PL_ZEWD_1412072686_03</t>
  </si>
  <si>
    <t>Tartaczna</t>
  </si>
  <si>
    <t>dz. 44 i 54/6</t>
  </si>
  <si>
    <t>PL_ZEWD_1412072218_02</t>
  </si>
  <si>
    <t>dz. 306/3</t>
  </si>
  <si>
    <t>PL_ZEWD_1412072219_04</t>
  </si>
  <si>
    <t>200 - lecia Mrozów</t>
  </si>
  <si>
    <t>PL_ZEWD_1412072421_03</t>
  </si>
  <si>
    <t>PL_ZEWD_1412072424_09</t>
  </si>
  <si>
    <t xml:space="preserve">Michałów </t>
  </si>
  <si>
    <t>dz. 657</t>
  </si>
  <si>
    <t>dz. 40/24</t>
  </si>
  <si>
    <t>dz. 813</t>
  </si>
  <si>
    <t>PL_ZEWD_1412000650_08</t>
  </si>
  <si>
    <t>Lawendowa</t>
  </si>
  <si>
    <t>dz. 220/2</t>
  </si>
  <si>
    <t>PL_ZEWD_1412072328_09</t>
  </si>
  <si>
    <t>dz. 48,270</t>
  </si>
  <si>
    <t>PL_ZEWD_1412072329_01</t>
  </si>
  <si>
    <t>Wierzbowa/Gościnna</t>
  </si>
  <si>
    <t>dz. 409</t>
  </si>
  <si>
    <t>PL_ZEWD_1412072846_03</t>
  </si>
  <si>
    <t>dz. 202</t>
  </si>
  <si>
    <t>PL_ZEWD_1412073026_08</t>
  </si>
  <si>
    <t>Suma zużycia</t>
  </si>
  <si>
    <t>Oświetlenie drogowe</t>
  </si>
  <si>
    <t>PL_ZEWD_1426000964_08</t>
  </si>
  <si>
    <t>PL_ZEWD_1426000927_08</t>
  </si>
  <si>
    <t>PL_ZEWD_1426001219_04</t>
  </si>
  <si>
    <r>
      <t xml:space="preserve">prognozowanych wolumenów zużycia energii elektrycznej dla PPE Zamawiającego w okresie od dnia 1 stycznia 2022 roku do 31 grudnia 2023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</si>
  <si>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Prognozowany wolumen zużycia energii elektrycznej czynnej w okresie od 1 stycznia do 31 grudnia 2022 [kWh] w podziale na grupy taryfowe (bilans OSD)</t>
  </si>
  <si>
    <t>Prognozowany wolumen zużycia energii elektrycznej czynnej w okresie od 1 stycznia do 31 grudnia 2023 [kWh] w podziale na grupy taryfowe (bilans OSD)</t>
  </si>
  <si>
    <t>Prognozowany łączny wolumen zużycia energii elektrycznej czynnej w okresie od 1 stycznia 2022 roku do 31 grudnia 2023 roku [kWh] w podziale na grupy taryfowe (bilans OSD)</t>
  </si>
  <si>
    <t>Prognozowany wolumen zużycia energii elektrycznej czynnej w okresie objetym przedmiotem zamówienia od 1 stycznia 2022 do 31 grudnia 2023 roku [kWh]</t>
  </si>
  <si>
    <r>
      <t xml:space="preserve">prognozowanych wolumenów zużycia energii elektrycznej dla PPE Zamawiającego w okresie od dnia 1 stycznia 2022 roku do 31 grudnia 2023 roku </t>
    </r>
    <r>
      <rPr>
        <b/>
        <sz val="12"/>
        <color indexed="8"/>
        <rFont val="Czcionka tekstu podstawowego"/>
        <family val="0"/>
      </rPr>
      <t>(Bilans roczny OSD</t>
    </r>
    <r>
      <rPr>
        <sz val="12"/>
        <color indexed="8"/>
        <rFont val="Czcionka tekstu podstawowego"/>
        <family val="0"/>
      </rPr>
      <t>)</t>
    </r>
  </si>
  <si>
    <t>Zestawienie zbiorcze PPE do zamówienia publicznego na zakup energii elektrycznej czynnej dla Grupy zakupowej na rok 2022 i 2023</t>
  </si>
  <si>
    <t>Załącznik nr 1a do SIWZ - Szczegółowy opis przedmiotu zamówienia - Oświetlenie dróg i placów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</si>
</sst>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d/mm/yyyy"/>
    <numFmt numFmtId="169" formatCode="#,##0.0000"/>
    <numFmt numFmtId="170" formatCode="[$-415]d\ mmmm\ yyyy"/>
    <numFmt numFmtId="171" formatCode="0.0000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6"/>
      <color indexed="8"/>
      <name val="Czcionka tekstu podstawowego"/>
      <family val="2"/>
    </font>
    <font>
      <sz val="12"/>
      <name val="Arial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b/>
      <sz val="10"/>
      <color indexed="8"/>
      <name val="Czcionka tekstu podstawowego"/>
      <family val="0"/>
    </font>
    <font>
      <b/>
      <sz val="14"/>
      <name val="Arial CE"/>
      <family val="0"/>
    </font>
    <font>
      <b/>
      <sz val="12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Czcionka tekstu podstawowego"/>
      <family val="2"/>
    </font>
    <font>
      <b/>
      <sz val="11"/>
      <name val="Czcionka tekstu podstawowego"/>
      <family val="2"/>
    </font>
    <font>
      <b/>
      <sz val="11"/>
      <color indexed="36"/>
      <name val="Czcionka tekstu podstawowego"/>
      <family val="0"/>
    </font>
    <font>
      <sz val="11"/>
      <name val="Arial"/>
      <family val="2"/>
    </font>
    <font>
      <sz val="12"/>
      <name val="Czcionka tekstu podstawowego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sz val="11"/>
      <color rgb="FF000000"/>
      <name val="Arial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1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67" fontId="62" fillId="0" borderId="10" xfId="0" applyNumberFormat="1" applyFont="1" applyBorder="1" applyAlignment="1">
      <alignment horizontal="center"/>
    </xf>
    <xf numFmtId="3" fontId="62" fillId="2" borderId="10" xfId="0" applyNumberFormat="1" applyFont="1" applyFill="1" applyBorder="1" applyAlignment="1">
      <alignment horizontal="right"/>
    </xf>
    <xf numFmtId="3" fontId="64" fillId="0" borderId="10" xfId="0" applyNumberFormat="1" applyFont="1" applyBorder="1" applyAlignment="1">
      <alignment/>
    </xf>
    <xf numFmtId="3" fontId="64" fillId="2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67" fontId="0" fillId="0" borderId="15" xfId="0" applyNumberFormat="1" applyFill="1" applyBorder="1" applyAlignment="1">
      <alignment horizontal="center" wrapText="1"/>
    </xf>
    <xf numFmtId="3" fontId="0" fillId="2" borderId="15" xfId="0" applyNumberFormat="1" applyFill="1" applyBorder="1" applyAlignment="1">
      <alignment wrapText="1"/>
    </xf>
    <xf numFmtId="3" fontId="0" fillId="0" borderId="16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 horizontal="center" wrapText="1"/>
    </xf>
    <xf numFmtId="3" fontId="0" fillId="2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wrapText="1"/>
    </xf>
    <xf numFmtId="0" fontId="57" fillId="0" borderId="18" xfId="0" applyFont="1" applyFill="1" applyBorder="1" applyAlignment="1">
      <alignment/>
    </xf>
    <xf numFmtId="0" fontId="57" fillId="0" borderId="19" xfId="0" applyFont="1" applyBorder="1" applyAlignment="1">
      <alignment/>
    </xf>
    <xf numFmtId="3" fontId="0" fillId="0" borderId="0" xfId="0" applyNumberFormat="1" applyFill="1" applyAlignment="1">
      <alignment/>
    </xf>
    <xf numFmtId="0" fontId="57" fillId="0" borderId="2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3" xfId="0" applyFont="1" applyFill="1" applyBorder="1" applyAlignment="1">
      <alignment/>
    </xf>
    <xf numFmtId="0" fontId="57" fillId="0" borderId="24" xfId="0" applyFont="1" applyBorder="1" applyAlignment="1">
      <alignment/>
    </xf>
    <xf numFmtId="0" fontId="0" fillId="0" borderId="16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2" borderId="16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3" fontId="0" fillId="2" borderId="17" xfId="0" applyNumberFormat="1" applyFill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wrapText="1"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23" xfId="0" applyFont="1" applyBorder="1" applyAlignment="1">
      <alignment/>
    </xf>
    <xf numFmtId="0" fontId="57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25" xfId="0" applyFont="1" applyBorder="1" applyAlignment="1">
      <alignment/>
    </xf>
    <xf numFmtId="0" fontId="0" fillId="0" borderId="10" xfId="0" applyBorder="1" applyAlignment="1">
      <alignment horizontal="right"/>
    </xf>
    <xf numFmtId="0" fontId="57" fillId="0" borderId="0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9" fillId="0" borderId="19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9" fillId="0" borderId="21" xfId="0" applyFont="1" applyBorder="1" applyAlignment="1">
      <alignment/>
    </xf>
    <xf numFmtId="3" fontId="65" fillId="0" borderId="10" xfId="0" applyNumberFormat="1" applyFont="1" applyBorder="1" applyAlignment="1">
      <alignment horizontal="right" wrapText="1"/>
    </xf>
    <xf numFmtId="0" fontId="57" fillId="0" borderId="20" xfId="0" applyFont="1" applyBorder="1" applyAlignment="1">
      <alignment/>
    </xf>
    <xf numFmtId="3" fontId="0" fillId="0" borderId="0" xfId="0" applyNumberFormat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67" fontId="0" fillId="0" borderId="27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28" xfId="0" applyNumberFormat="1" applyFill="1" applyBorder="1" applyAlignment="1">
      <alignment/>
    </xf>
    <xf numFmtId="167" fontId="0" fillId="0" borderId="27" xfId="0" applyNumberFormat="1" applyFill="1" applyBorder="1" applyAlignment="1">
      <alignment/>
    </xf>
    <xf numFmtId="0" fontId="68" fillId="0" borderId="0" xfId="0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/>
    </xf>
    <xf numFmtId="0" fontId="0" fillId="0" borderId="27" xfId="0" applyBorder="1" applyAlignment="1">
      <alignment wrapText="1"/>
    </xf>
    <xf numFmtId="3" fontId="0" fillId="0" borderId="12" xfId="0" applyNumberFormat="1" applyFill="1" applyBorder="1" applyAlignment="1">
      <alignment/>
    </xf>
    <xf numFmtId="3" fontId="0" fillId="2" borderId="29" xfId="0" applyNumberFormat="1" applyFill="1" applyBorder="1" applyAlignment="1">
      <alignment horizontal="center" vertical="center" wrapText="1"/>
    </xf>
    <xf numFmtId="3" fontId="0" fillId="2" borderId="3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167" fontId="0" fillId="0" borderId="28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2" borderId="10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57" fillId="0" borderId="16" xfId="0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 wrapText="1"/>
    </xf>
    <xf numFmtId="3" fontId="0" fillId="2" borderId="15" xfId="0" applyNumberFormat="1" applyFill="1" applyBorder="1" applyAlignment="1">
      <alignment/>
    </xf>
    <xf numFmtId="0" fontId="69" fillId="0" borderId="16" xfId="0" applyFont="1" applyBorder="1" applyAlignment="1">
      <alignment/>
    </xf>
    <xf numFmtId="0" fontId="69" fillId="0" borderId="16" xfId="0" applyFont="1" applyBorder="1" applyAlignment="1">
      <alignment horizontal="center" wrapText="1"/>
    </xf>
    <xf numFmtId="3" fontId="0" fillId="2" borderId="16" xfId="0" applyNumberFormat="1" applyFill="1" applyBorder="1" applyAlignment="1">
      <alignment horizontal="right"/>
    </xf>
    <xf numFmtId="3" fontId="69" fillId="0" borderId="16" xfId="0" applyNumberFormat="1" applyFont="1" applyBorder="1" applyAlignment="1">
      <alignment horizontal="right" wrapText="1"/>
    </xf>
    <xf numFmtId="3" fontId="69" fillId="0" borderId="16" xfId="0" applyNumberFormat="1" applyFont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69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63" fillId="0" borderId="10" xfId="0" applyFont="1" applyBorder="1" applyAlignment="1">
      <alignment horizontal="left"/>
    </xf>
    <xf numFmtId="166" fontId="0" fillId="0" borderId="16" xfId="0" applyNumberFormat="1" applyBorder="1" applyAlignment="1">
      <alignment horizontal="center"/>
    </xf>
    <xf numFmtId="0" fontId="57" fillId="0" borderId="16" xfId="0" applyFont="1" applyBorder="1" applyAlignment="1">
      <alignment horizontal="left"/>
    </xf>
    <xf numFmtId="0" fontId="69" fillId="0" borderId="0" xfId="0" applyFont="1" applyAlignment="1">
      <alignment horizontal="center"/>
    </xf>
    <xf numFmtId="3" fontId="69" fillId="2" borderId="10" xfId="0" applyNumberFormat="1" applyFont="1" applyFill="1" applyBorder="1" applyAlignment="1">
      <alignment horizontal="right"/>
    </xf>
    <xf numFmtId="3" fontId="69" fillId="0" borderId="10" xfId="0" applyNumberFormat="1" applyFont="1" applyFill="1" applyBorder="1" applyAlignment="1">
      <alignment horizontal="right"/>
    </xf>
    <xf numFmtId="0" fontId="57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24" xfId="0" applyBorder="1" applyAlignment="1">
      <alignment wrapText="1"/>
    </xf>
    <xf numFmtId="0" fontId="69" fillId="0" borderId="16" xfId="0" applyFont="1" applyBorder="1" applyAlignment="1">
      <alignment horizontal="right" wrapText="1"/>
    </xf>
    <xf numFmtId="0" fontId="69" fillId="0" borderId="10" xfId="0" applyFont="1" applyBorder="1" applyAlignment="1">
      <alignment horizontal="right" wrapText="1"/>
    </xf>
    <xf numFmtId="0" fontId="69" fillId="0" borderId="10" xfId="0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0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Fill="1" applyBorder="1" applyAlignment="1">
      <alignment/>
    </xf>
    <xf numFmtId="0" fontId="70" fillId="0" borderId="0" xfId="0" applyFont="1" applyAlignment="1">
      <alignment horizontal="right"/>
    </xf>
    <xf numFmtId="0" fontId="70" fillId="0" borderId="0" xfId="0" applyFont="1" applyAlignment="1">
      <alignment vertical="center"/>
    </xf>
    <xf numFmtId="0" fontId="6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57" fillId="0" borderId="0" xfId="0" applyNumberFormat="1" applyFont="1" applyBorder="1" applyAlignment="1">
      <alignment/>
    </xf>
    <xf numFmtId="0" fontId="57" fillId="0" borderId="2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2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67" fontId="0" fillId="0" borderId="10" xfId="0" applyNumberFormat="1" applyBorder="1" applyAlignment="1">
      <alignment/>
    </xf>
    <xf numFmtId="0" fontId="69" fillId="2" borderId="10" xfId="0" applyFont="1" applyFill="1" applyBorder="1" applyAlignment="1">
      <alignment/>
    </xf>
    <xf numFmtId="3" fontId="69" fillId="2" borderId="10" xfId="0" applyNumberFormat="1" applyFont="1" applyFill="1" applyBorder="1" applyAlignment="1">
      <alignment/>
    </xf>
    <xf numFmtId="3" fontId="69" fillId="0" borderId="10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0" xfId="0" applyFont="1" applyBorder="1" applyAlignment="1">
      <alignment horizontal="center"/>
    </xf>
    <xf numFmtId="3" fontId="69" fillId="0" borderId="0" xfId="0" applyNumberFormat="1" applyFont="1" applyAlignment="1">
      <alignment/>
    </xf>
    <xf numFmtId="0" fontId="65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5" fillId="0" borderId="10" xfId="0" applyFont="1" applyFill="1" applyBorder="1" applyAlignment="1">
      <alignment horizontal="right" wrapText="1"/>
    </xf>
    <xf numFmtId="0" fontId="69" fillId="0" borderId="10" xfId="0" applyFont="1" applyFill="1" applyBorder="1" applyAlignment="1">
      <alignment horizontal="right"/>
    </xf>
    <xf numFmtId="0" fontId="69" fillId="0" borderId="0" xfId="0" applyFont="1" applyFill="1" applyAlignment="1">
      <alignment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67" fontId="0" fillId="0" borderId="16" xfId="0" applyNumberFormat="1" applyBorder="1" applyAlignment="1">
      <alignment/>
    </xf>
    <xf numFmtId="0" fontId="57" fillId="0" borderId="10" xfId="0" applyFont="1" applyFill="1" applyBorder="1" applyAlignment="1">
      <alignment horizontal="right"/>
    </xf>
    <xf numFmtId="0" fontId="72" fillId="0" borderId="10" xfId="0" applyFont="1" applyBorder="1" applyAlignment="1">
      <alignment horizontal="center"/>
    </xf>
    <xf numFmtId="0" fontId="57" fillId="0" borderId="16" xfId="0" applyFont="1" applyBorder="1" applyAlignment="1">
      <alignment horizontal="right"/>
    </xf>
    <xf numFmtId="167" fontId="0" fillId="0" borderId="1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66" fillId="34" borderId="16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66" fillId="34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right"/>
    </xf>
    <xf numFmtId="167" fontId="0" fillId="0" borderId="16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0" fontId="66" fillId="34" borderId="16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7" fillId="0" borderId="2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7" fillId="0" borderId="18" xfId="0" applyFont="1" applyFill="1" applyBorder="1" applyAlignment="1">
      <alignment/>
    </xf>
    <xf numFmtId="0" fontId="73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166" fontId="0" fillId="2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0" fontId="73" fillId="34" borderId="16" xfId="0" applyFont="1" applyFill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 wrapText="1"/>
    </xf>
    <xf numFmtId="0" fontId="69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57" fillId="34" borderId="1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34" borderId="31" xfId="0" applyFill="1" applyBorder="1" applyAlignment="1">
      <alignment/>
    </xf>
    <xf numFmtId="3" fontId="5" fillId="34" borderId="32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7" xfId="0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34" borderId="31" xfId="0" applyNumberFormat="1" applyFill="1" applyBorder="1" applyAlignment="1">
      <alignment/>
    </xf>
    <xf numFmtId="3" fontId="57" fillId="34" borderId="16" xfId="0" applyNumberFormat="1" applyFont="1" applyFill="1" applyBorder="1" applyAlignment="1">
      <alignment/>
    </xf>
    <xf numFmtId="3" fontId="0" fillId="2" borderId="26" xfId="0" applyNumberFormat="1" applyFill="1" applyBorder="1" applyAlignment="1">
      <alignment/>
    </xf>
    <xf numFmtId="0" fontId="69" fillId="0" borderId="15" xfId="0" applyFont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0" borderId="38" xfId="0" applyNumberFormat="1" applyBorder="1" applyAlignment="1">
      <alignment/>
    </xf>
    <xf numFmtId="0" fontId="0" fillId="33" borderId="37" xfId="0" applyFill="1" applyBorder="1" applyAlignment="1">
      <alignment/>
    </xf>
    <xf numFmtId="3" fontId="0" fillId="0" borderId="39" xfId="0" applyNumberFormat="1" applyBorder="1" applyAlignment="1">
      <alignment/>
    </xf>
    <xf numFmtId="0" fontId="0" fillId="33" borderId="26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3" xfId="0" applyFill="1" applyBorder="1" applyAlignment="1">
      <alignment/>
    </xf>
    <xf numFmtId="0" fontId="57" fillId="0" borderId="17" xfId="0" applyFon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/>
    </xf>
    <xf numFmtId="166" fontId="0" fillId="0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14" fillId="34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69" fillId="34" borderId="16" xfId="0" applyFont="1" applyFill="1" applyBorder="1" applyAlignment="1">
      <alignment/>
    </xf>
    <xf numFmtId="0" fontId="72" fillId="0" borderId="16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57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34" borderId="16" xfId="0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167" fontId="0" fillId="0" borderId="42" xfId="0" applyNumberForma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69" fillId="0" borderId="10" xfId="0" applyFont="1" applyBorder="1" applyAlignment="1">
      <alignment horizontal="right" vertical="center"/>
    </xf>
    <xf numFmtId="166" fontId="0" fillId="0" borderId="16" xfId="0" applyNumberFormat="1" applyBorder="1" applyAlignment="1">
      <alignment/>
    </xf>
    <xf numFmtId="0" fontId="0" fillId="0" borderId="16" xfId="0" applyFont="1" applyBorder="1" applyAlignment="1">
      <alignment horizontal="left" wrapText="1"/>
    </xf>
    <xf numFmtId="0" fontId="66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0" fillId="2" borderId="17" xfId="0" applyNumberForma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72" fillId="0" borderId="0" xfId="0" applyFont="1" applyBorder="1" applyAlignment="1">
      <alignment horizontal="right"/>
    </xf>
    <xf numFmtId="0" fontId="72" fillId="0" borderId="0" xfId="0" applyFont="1" applyBorder="1" applyAlignment="1">
      <alignment/>
    </xf>
    <xf numFmtId="0" fontId="57" fillId="0" borderId="22" xfId="0" applyFont="1" applyBorder="1" applyAlignment="1">
      <alignment horizontal="right" wrapText="1"/>
    </xf>
    <xf numFmtId="0" fontId="6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34" borderId="43" xfId="0" applyFill="1" applyBorder="1" applyAlignment="1">
      <alignment/>
    </xf>
    <xf numFmtId="3" fontId="0" fillId="34" borderId="44" xfId="0" applyNumberForma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9" xfId="0" applyFill="1" applyBorder="1" applyAlignment="1">
      <alignment/>
    </xf>
    <xf numFmtId="3" fontId="57" fillId="34" borderId="32" xfId="0" applyNumberFormat="1" applyFont="1" applyFill="1" applyBorder="1" applyAlignment="1">
      <alignment/>
    </xf>
    <xf numFmtId="3" fontId="57" fillId="34" borderId="31" xfId="0" applyNumberFormat="1" applyFont="1" applyFill="1" applyBorder="1" applyAlignment="1">
      <alignment/>
    </xf>
    <xf numFmtId="0" fontId="69" fillId="34" borderId="10" xfId="0" applyFont="1" applyFill="1" applyBorder="1" applyAlignment="1">
      <alignment horizontal="left"/>
    </xf>
    <xf numFmtId="0" fontId="69" fillId="0" borderId="10" xfId="0" applyFont="1" applyBorder="1" applyAlignment="1">
      <alignment horizontal="left" wrapText="1"/>
    </xf>
    <xf numFmtId="3" fontId="69" fillId="35" borderId="10" xfId="0" applyNumberFormat="1" applyFont="1" applyFill="1" applyBorder="1" applyAlignment="1">
      <alignment/>
    </xf>
    <xf numFmtId="3" fontId="69" fillId="6" borderId="10" xfId="0" applyNumberFormat="1" applyFont="1" applyFill="1" applyBorder="1" applyAlignment="1">
      <alignment/>
    </xf>
    <xf numFmtId="49" fontId="69" fillId="34" borderId="10" xfId="0" applyNumberFormat="1" applyFont="1" applyFill="1" applyBorder="1" applyAlignment="1">
      <alignment horizontal="left" vertical="center"/>
    </xf>
    <xf numFmtId="0" fontId="0" fillId="34" borderId="16" xfId="0" applyFont="1" applyFill="1" applyBorder="1" applyAlignment="1">
      <alignment/>
    </xf>
    <xf numFmtId="0" fontId="69" fillId="34" borderId="1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35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57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167" fontId="0" fillId="2" borderId="16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/>
    </xf>
    <xf numFmtId="3" fontId="0" fillId="2" borderId="17" xfId="0" applyNumberFormat="1" applyFont="1" applyFill="1" applyBorder="1" applyAlignment="1">
      <alignment/>
    </xf>
    <xf numFmtId="0" fontId="57" fillId="0" borderId="17" xfId="0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6" xfId="0" applyFont="1" applyFill="1" applyBorder="1" applyAlignment="1">
      <alignment/>
    </xf>
    <xf numFmtId="16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0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0" fillId="0" borderId="16" xfId="0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70" fillId="0" borderId="0" xfId="0" applyFont="1" applyAlignment="1">
      <alignment/>
    </xf>
    <xf numFmtId="0" fontId="64" fillId="0" borderId="0" xfId="0" applyFont="1" applyBorder="1" applyAlignment="1">
      <alignment horizontal="left"/>
    </xf>
    <xf numFmtId="0" fontId="70" fillId="0" borderId="10" xfId="0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right"/>
    </xf>
    <xf numFmtId="3" fontId="70" fillId="0" borderId="26" xfId="0" applyNumberFormat="1" applyFont="1" applyBorder="1" applyAlignment="1">
      <alignment horizontal="right"/>
    </xf>
    <xf numFmtId="0" fontId="70" fillId="0" borderId="0" xfId="0" applyFont="1" applyAlignment="1">
      <alignment horizontal="right" vertical="center"/>
    </xf>
    <xf numFmtId="3" fontId="70" fillId="0" borderId="31" xfId="0" applyNumberFormat="1" applyFont="1" applyBorder="1" applyAlignment="1">
      <alignment horizontal="right"/>
    </xf>
    <xf numFmtId="0" fontId="57" fillId="0" borderId="0" xfId="0" applyFont="1" applyFill="1" applyAlignment="1">
      <alignment horizontal="center" wrapText="1"/>
    </xf>
    <xf numFmtId="167" fontId="0" fillId="0" borderId="27" xfId="0" applyNumberFormat="1" applyBorder="1" applyAlignment="1">
      <alignment horizontal="center"/>
    </xf>
    <xf numFmtId="3" fontId="0" fillId="2" borderId="13" xfId="0" applyNumberFormat="1" applyFill="1" applyBorder="1" applyAlignment="1">
      <alignment/>
    </xf>
    <xf numFmtId="3" fontId="70" fillId="0" borderId="10" xfId="0" applyNumberFormat="1" applyFont="1" applyBorder="1" applyAlignment="1">
      <alignment horizontal="right" vertical="center" wrapText="1"/>
    </xf>
    <xf numFmtId="0" fontId="72" fillId="0" borderId="25" xfId="0" applyFont="1" applyBorder="1" applyAlignment="1">
      <alignment/>
    </xf>
    <xf numFmtId="0" fontId="72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72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 horizontal="right"/>
    </xf>
    <xf numFmtId="0" fontId="57" fillId="0" borderId="23" xfId="0" applyFont="1" applyBorder="1" applyAlignment="1">
      <alignment horizontal="left"/>
    </xf>
    <xf numFmtId="0" fontId="57" fillId="0" borderId="24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0" fillId="0" borderId="20" xfId="0" applyBorder="1" applyAlignment="1">
      <alignment wrapText="1"/>
    </xf>
    <xf numFmtId="0" fontId="57" fillId="0" borderId="21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5" xfId="0" applyFont="1" applyBorder="1" applyAlignment="1">
      <alignment horizontal="right"/>
    </xf>
    <xf numFmtId="0" fontId="57" fillId="0" borderId="18" xfId="0" applyFont="1" applyBorder="1" applyAlignment="1">
      <alignment/>
    </xf>
    <xf numFmtId="0" fontId="57" fillId="0" borderId="25" xfId="0" applyFont="1" applyFill="1" applyBorder="1" applyAlignment="1">
      <alignment/>
    </xf>
    <xf numFmtId="166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6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57" fillId="0" borderId="25" xfId="0" applyFont="1" applyFill="1" applyBorder="1" applyAlignment="1">
      <alignment horizontal="right" wrapText="1"/>
    </xf>
    <xf numFmtId="0" fontId="57" fillId="0" borderId="19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57" fillId="0" borderId="20" xfId="0" applyFont="1" applyBorder="1" applyAlignment="1">
      <alignment horizontal="right" wrapText="1"/>
    </xf>
    <xf numFmtId="0" fontId="6" fillId="0" borderId="25" xfId="0" applyFont="1" applyFill="1" applyBorder="1" applyAlignment="1">
      <alignment horizontal="right"/>
    </xf>
    <xf numFmtId="0" fontId="57" fillId="0" borderId="25" xfId="0" applyFont="1" applyFill="1" applyBorder="1" applyAlignment="1">
      <alignment horizontal="right"/>
    </xf>
    <xf numFmtId="0" fontId="57" fillId="0" borderId="2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right"/>
    </xf>
    <xf numFmtId="0" fontId="57" fillId="0" borderId="25" xfId="0" applyFont="1" applyFill="1" applyBorder="1" applyAlignment="1">
      <alignment horizontal="right" wrapText="1"/>
    </xf>
    <xf numFmtId="0" fontId="57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25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2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20" xfId="0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right" wrapText="1"/>
    </xf>
    <xf numFmtId="0" fontId="15" fillId="0" borderId="23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7" fillId="0" borderId="18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21" xfId="0" applyFont="1" applyBorder="1" applyAlignment="1">
      <alignment horizontal="left"/>
    </xf>
    <xf numFmtId="0" fontId="57" fillId="0" borderId="2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4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23" xfId="0" applyFont="1" applyBorder="1" applyAlignment="1">
      <alignment horizontal="left"/>
    </xf>
    <xf numFmtId="0" fontId="57" fillId="0" borderId="24" xfId="0" applyFont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right" vertical="center" wrapText="1"/>
    </xf>
    <xf numFmtId="0" fontId="57" fillId="0" borderId="23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right" wrapText="1"/>
    </xf>
    <xf numFmtId="0" fontId="72" fillId="0" borderId="0" xfId="0" applyFont="1" applyFill="1" applyBorder="1" applyAlignment="1">
      <alignment horizontal="left"/>
    </xf>
    <xf numFmtId="0" fontId="57" fillId="0" borderId="21" xfId="0" applyFont="1" applyBorder="1" applyAlignment="1">
      <alignment/>
    </xf>
    <xf numFmtId="0" fontId="69" fillId="0" borderId="0" xfId="0" applyFont="1" applyBorder="1" applyAlignment="1">
      <alignment/>
    </xf>
    <xf numFmtId="0" fontId="72" fillId="0" borderId="19" xfId="0" applyFont="1" applyFill="1" applyBorder="1" applyAlignment="1">
      <alignment horizontal="left"/>
    </xf>
    <xf numFmtId="0" fontId="57" fillId="0" borderId="21" xfId="0" applyFont="1" applyBorder="1" applyAlignment="1">
      <alignment horizontal="left"/>
    </xf>
    <xf numFmtId="0" fontId="72" fillId="0" borderId="22" xfId="0" applyFont="1" applyBorder="1" applyAlignment="1">
      <alignment/>
    </xf>
    <xf numFmtId="0" fontId="57" fillId="0" borderId="24" xfId="0" applyFont="1" applyBorder="1" applyAlignment="1">
      <alignment horizontal="left"/>
    </xf>
    <xf numFmtId="0" fontId="72" fillId="0" borderId="22" xfId="0" applyFont="1" applyFill="1" applyBorder="1" applyAlignment="1">
      <alignment horizontal="right" wrapText="1"/>
    </xf>
    <xf numFmtId="0" fontId="57" fillId="0" borderId="24" xfId="0" applyFont="1" applyBorder="1" applyAlignment="1">
      <alignment/>
    </xf>
    <xf numFmtId="0" fontId="57" fillId="0" borderId="0" xfId="0" applyFont="1" applyAlignment="1">
      <alignment/>
    </xf>
    <xf numFmtId="0" fontId="57" fillId="0" borderId="20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69" fillId="0" borderId="17" xfId="0" applyFont="1" applyBorder="1" applyAlignment="1">
      <alignment horizontal="center" wrapText="1"/>
    </xf>
    <xf numFmtId="0" fontId="72" fillId="0" borderId="25" xfId="0" applyFont="1" applyFill="1" applyBorder="1" applyAlignment="1">
      <alignment horizontal="right" wrapText="1"/>
    </xf>
    <xf numFmtId="0" fontId="72" fillId="0" borderId="18" xfId="0" applyFont="1" applyFill="1" applyBorder="1" applyAlignment="1">
      <alignment horizontal="left"/>
    </xf>
    <xf numFmtId="0" fontId="5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19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24" xfId="0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74" fillId="0" borderId="10" xfId="0" applyFont="1" applyFill="1" applyBorder="1" applyAlignment="1">
      <alignment horizontal="right" wrapText="1"/>
    </xf>
    <xf numFmtId="0" fontId="75" fillId="0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64" fillId="0" borderId="0" xfId="0" applyFont="1" applyFill="1" applyAlignment="1">
      <alignment/>
    </xf>
    <xf numFmtId="3" fontId="69" fillId="0" borderId="16" xfId="0" applyNumberFormat="1" applyFont="1" applyBorder="1" applyAlignment="1">
      <alignment/>
    </xf>
    <xf numFmtId="3" fontId="72" fillId="34" borderId="16" xfId="0" applyNumberFormat="1" applyFont="1" applyFill="1" applyBorder="1" applyAlignment="1">
      <alignment/>
    </xf>
    <xf numFmtId="0" fontId="74" fillId="0" borderId="16" xfId="0" applyFont="1" applyBorder="1" applyAlignment="1">
      <alignment horizontal="center" wrapText="1"/>
    </xf>
    <xf numFmtId="0" fontId="74" fillId="0" borderId="16" xfId="0" applyFont="1" applyFill="1" applyBorder="1" applyAlignment="1">
      <alignment horizontal="right" wrapText="1"/>
    </xf>
    <xf numFmtId="167" fontId="0" fillId="0" borderId="15" xfId="0" applyNumberForma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166" fontId="0" fillId="0" borderId="17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22" xfId="0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14" fillId="0" borderId="16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57" fillId="0" borderId="10" xfId="0" applyFont="1" applyFill="1" applyBorder="1" applyAlignment="1">
      <alignment horizontal="right" wrapText="1"/>
    </xf>
    <xf numFmtId="166" fontId="0" fillId="0" borderId="10" xfId="0" applyNumberForma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0" borderId="16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166" fontId="0" fillId="0" borderId="16" xfId="0" applyNumberFormat="1" applyFill="1" applyBorder="1" applyAlignment="1">
      <alignment horizontal="right" wrapText="1"/>
    </xf>
    <xf numFmtId="0" fontId="64" fillId="0" borderId="10" xfId="0" applyFont="1" applyFill="1" applyBorder="1" applyAlignment="1">
      <alignment/>
    </xf>
    <xf numFmtId="0" fontId="57" fillId="0" borderId="16" xfId="0" applyFont="1" applyFill="1" applyBorder="1" applyAlignment="1">
      <alignment horizontal="right" wrapText="1"/>
    </xf>
    <xf numFmtId="0" fontId="75" fillId="0" borderId="15" xfId="0" applyFont="1" applyFill="1" applyBorder="1" applyAlignment="1">
      <alignment horizontal="center" wrapText="1"/>
    </xf>
    <xf numFmtId="0" fontId="64" fillId="0" borderId="16" xfId="0" applyFont="1" applyBorder="1" applyAlignment="1">
      <alignment/>
    </xf>
    <xf numFmtId="0" fontId="64" fillId="0" borderId="16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57" fillId="0" borderId="25" xfId="0" applyFont="1" applyFill="1" applyBorder="1" applyAlignment="1">
      <alignment wrapText="1"/>
    </xf>
    <xf numFmtId="0" fontId="57" fillId="0" borderId="20" xfId="0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64" fillId="0" borderId="0" xfId="0" applyFont="1" applyFill="1" applyAlignment="1">
      <alignment wrapTex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/>
    </xf>
    <xf numFmtId="0" fontId="57" fillId="0" borderId="25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57" fillId="0" borderId="2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6" fontId="0" fillId="0" borderId="2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9" fontId="0" fillId="0" borderId="0" xfId="54" applyFont="1" applyAlignment="1">
      <alignment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/>
    </xf>
    <xf numFmtId="0" fontId="70" fillId="0" borderId="10" xfId="0" applyFont="1" applyBorder="1" applyAlignment="1">
      <alignment/>
    </xf>
    <xf numFmtId="0" fontId="0" fillId="34" borderId="11" xfId="0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17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right" vertical="center"/>
    </xf>
    <xf numFmtId="3" fontId="14" fillId="0" borderId="10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left" vertical="center" wrapText="1"/>
    </xf>
    <xf numFmtId="0" fontId="0" fillId="33" borderId="35" xfId="0" applyFill="1" applyBorder="1" applyAlignment="1">
      <alignment horizontal="right" vertical="center"/>
    </xf>
    <xf numFmtId="3" fontId="0" fillId="35" borderId="16" xfId="0" applyNumberFormat="1" applyFill="1" applyBorder="1" applyAlignment="1">
      <alignment/>
    </xf>
    <xf numFmtId="0" fontId="57" fillId="0" borderId="16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right" wrapText="1"/>
    </xf>
    <xf numFmtId="0" fontId="67" fillId="0" borderId="23" xfId="0" applyFont="1" applyFill="1" applyBorder="1" applyAlignment="1">
      <alignment wrapText="1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left"/>
    </xf>
    <xf numFmtId="0" fontId="66" fillId="0" borderId="0" xfId="0" applyFont="1" applyBorder="1" applyAlignment="1">
      <alignment/>
    </xf>
    <xf numFmtId="166" fontId="0" fillId="0" borderId="10" xfId="0" applyNumberFormat="1" applyBorder="1" applyAlignment="1">
      <alignment/>
    </xf>
    <xf numFmtId="0" fontId="0" fillId="34" borderId="15" xfId="0" applyFill="1" applyBorder="1" applyAlignment="1">
      <alignment wrapText="1"/>
    </xf>
    <xf numFmtId="0" fontId="67" fillId="0" borderId="0" xfId="0" applyFont="1" applyFill="1" applyAlignment="1">
      <alignment/>
    </xf>
    <xf numFmtId="167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16" fillId="2" borderId="1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0" fillId="0" borderId="35" xfId="0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69" fillId="0" borderId="16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0" fillId="34" borderId="16" xfId="0" applyNumberFormat="1" applyFill="1" applyBorder="1" applyAlignment="1">
      <alignment/>
    </xf>
    <xf numFmtId="0" fontId="0" fillId="34" borderId="50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70" fillId="34" borderId="10" xfId="0" applyFont="1" applyFill="1" applyBorder="1" applyAlignment="1">
      <alignment horizontal="right" vertical="center"/>
    </xf>
    <xf numFmtId="3" fontId="0" fillId="34" borderId="12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35" xfId="0" applyNumberFormat="1" applyFill="1" applyBorder="1" applyAlignment="1">
      <alignment horizontal="right" vertical="center"/>
    </xf>
    <xf numFmtId="0" fontId="0" fillId="34" borderId="40" xfId="0" applyFill="1" applyBorder="1" applyAlignment="1">
      <alignment horizontal="right" vertical="center"/>
    </xf>
    <xf numFmtId="3" fontId="0" fillId="34" borderId="10" xfId="0" applyNumberFormat="1" applyFill="1" applyBorder="1" applyAlignment="1">
      <alignment/>
    </xf>
    <xf numFmtId="3" fontId="0" fillId="34" borderId="41" xfId="0" applyNumberFormat="1" applyFill="1" applyBorder="1" applyAlignment="1">
      <alignment/>
    </xf>
    <xf numFmtId="3" fontId="0" fillId="34" borderId="17" xfId="0" applyNumberFormat="1" applyFill="1" applyBorder="1" applyAlignment="1">
      <alignment horizontal="right"/>
    </xf>
    <xf numFmtId="0" fontId="70" fillId="34" borderId="26" xfId="0" applyFont="1" applyFill="1" applyBorder="1" applyAlignment="1">
      <alignment horizontal="right" vertical="center"/>
    </xf>
    <xf numFmtId="3" fontId="0" fillId="34" borderId="52" xfId="0" applyNumberForma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wrapText="1"/>
    </xf>
    <xf numFmtId="3" fontId="0" fillId="2" borderId="16" xfId="0" applyNumberFormat="1" applyFill="1" applyBorder="1" applyAlignment="1">
      <alignment wrapText="1"/>
    </xf>
    <xf numFmtId="3" fontId="0" fillId="0" borderId="16" xfId="0" applyNumberFormat="1" applyBorder="1" applyAlignment="1">
      <alignment wrapText="1"/>
    </xf>
    <xf numFmtId="0" fontId="17" fillId="34" borderId="10" xfId="0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/>
    </xf>
    <xf numFmtId="3" fontId="18" fillId="2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right" wrapText="1"/>
    </xf>
    <xf numFmtId="0" fontId="72" fillId="0" borderId="10" xfId="0" applyFont="1" applyBorder="1" applyAlignment="1">
      <alignment horizontal="right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49" fontId="0" fillId="34" borderId="17" xfId="0" applyNumberFormat="1" applyFill="1" applyBorder="1" applyAlignment="1">
      <alignment wrapText="1"/>
    </xf>
    <xf numFmtId="0" fontId="72" fillId="0" borderId="0" xfId="0" applyFont="1" applyFill="1" applyBorder="1" applyAlignment="1">
      <alignment horizontal="right" wrapText="1"/>
    </xf>
    <xf numFmtId="166" fontId="0" fillId="0" borderId="16" xfId="0" applyNumberFormat="1" applyBorder="1" applyAlignment="1">
      <alignment/>
    </xf>
    <xf numFmtId="0" fontId="6" fillId="0" borderId="10" xfId="0" applyFont="1" applyBorder="1" applyAlignment="1">
      <alignment horizontal="left" wrapText="1"/>
    </xf>
    <xf numFmtId="3" fontId="0" fillId="2" borderId="0" xfId="0" applyNumberFormat="1" applyFill="1" applyBorder="1" applyAlignment="1">
      <alignment/>
    </xf>
    <xf numFmtId="166" fontId="0" fillId="0" borderId="28" xfId="0" applyNumberFormat="1" applyFill="1" applyBorder="1" applyAlignment="1">
      <alignment horizontal="right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wrapText="1"/>
    </xf>
    <xf numFmtId="0" fontId="57" fillId="0" borderId="16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right" wrapText="1"/>
    </xf>
    <xf numFmtId="3" fontId="64" fillId="2" borderId="1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0" fontId="69" fillId="34" borderId="16" xfId="0" applyFont="1" applyFill="1" applyBorder="1" applyAlignment="1">
      <alignment horizontal="left" wrapText="1"/>
    </xf>
    <xf numFmtId="49" fontId="0" fillId="34" borderId="10" xfId="0" applyNumberFormat="1" applyFill="1" applyBorder="1" applyAlignment="1">
      <alignment/>
    </xf>
    <xf numFmtId="49" fontId="0" fillId="34" borderId="16" xfId="0" applyNumberFormat="1" applyFill="1" applyBorder="1" applyAlignment="1">
      <alignment/>
    </xf>
    <xf numFmtId="0" fontId="64" fillId="0" borderId="10" xfId="0" applyFont="1" applyBorder="1" applyAlignment="1">
      <alignment horizontal="left"/>
    </xf>
    <xf numFmtId="167" fontId="0" fillId="0" borderId="27" xfId="0" applyNumberFormat="1" applyBorder="1" applyAlignment="1">
      <alignment horizontal="right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center"/>
    </xf>
    <xf numFmtId="167" fontId="69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6" xfId="0" applyNumberForma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167" fontId="0" fillId="0" borderId="16" xfId="0" applyNumberFormat="1" applyFill="1" applyBorder="1" applyAlignment="1">
      <alignment horizontal="right"/>
    </xf>
    <xf numFmtId="3" fontId="16" fillId="2" borderId="16" xfId="0" applyNumberFormat="1" applyFont="1" applyFill="1" applyBorder="1" applyAlignment="1">
      <alignment horizontal="right" wrapText="1"/>
    </xf>
    <xf numFmtId="3" fontId="1" fillId="0" borderId="16" xfId="0" applyNumberFormat="1" applyFont="1" applyBorder="1" applyAlignment="1">
      <alignment wrapText="1"/>
    </xf>
    <xf numFmtId="166" fontId="0" fillId="0" borderId="16" xfId="0" applyNumberForma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64" fillId="0" borderId="10" xfId="0" applyFont="1" applyBorder="1" applyAlignment="1">
      <alignment horizontal="center"/>
    </xf>
    <xf numFmtId="166" fontId="69" fillId="0" borderId="10" xfId="0" applyNumberFormat="1" applyFont="1" applyBorder="1" applyAlignment="1">
      <alignment horizontal="right" wrapText="1"/>
    </xf>
    <xf numFmtId="0" fontId="64" fillId="0" borderId="23" xfId="0" applyFont="1" applyFill="1" applyBorder="1" applyAlignment="1">
      <alignment wrapText="1"/>
    </xf>
    <xf numFmtId="167" fontId="62" fillId="0" borderId="10" xfId="0" applyNumberFormat="1" applyFont="1" applyFill="1" applyBorder="1" applyAlignment="1">
      <alignment horizontal="center"/>
    </xf>
    <xf numFmtId="167" fontId="0" fillId="0" borderId="27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34" borderId="16" xfId="0" applyFont="1" applyFill="1" applyBorder="1" applyAlignment="1">
      <alignment/>
    </xf>
    <xf numFmtId="0" fontId="70" fillId="0" borderId="16" xfId="0" applyFont="1" applyBorder="1" applyAlignment="1">
      <alignment wrapText="1"/>
    </xf>
    <xf numFmtId="0" fontId="70" fillId="0" borderId="16" xfId="0" applyFont="1" applyFill="1" applyBorder="1" applyAlignment="1">
      <alignment horizontal="left"/>
    </xf>
    <xf numFmtId="3" fontId="0" fillId="0" borderId="16" xfId="0" applyNumberFormat="1" applyFont="1" applyBorder="1" applyAlignment="1">
      <alignment wrapText="1"/>
    </xf>
    <xf numFmtId="3" fontId="64" fillId="0" borderId="16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167" fontId="64" fillId="0" borderId="16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 wrapText="1"/>
    </xf>
    <xf numFmtId="166" fontId="0" fillId="0" borderId="27" xfId="0" applyNumberFormat="1" applyFill="1" applyBorder="1" applyAlignment="1">
      <alignment horizontal="center"/>
    </xf>
    <xf numFmtId="3" fontId="0" fillId="8" borderId="10" xfId="0" applyNumberForma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9" fillId="0" borderId="16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/>
    </xf>
    <xf numFmtId="0" fontId="69" fillId="0" borderId="16" xfId="0" applyFont="1" applyBorder="1" applyAlignment="1">
      <alignment horizontal="right" vertical="center"/>
    </xf>
    <xf numFmtId="0" fontId="72" fillId="0" borderId="16" xfId="0" applyFont="1" applyBorder="1" applyAlignment="1">
      <alignment horizontal="center"/>
    </xf>
    <xf numFmtId="167" fontId="69" fillId="0" borderId="16" xfId="0" applyNumberFormat="1" applyFont="1" applyBorder="1" applyAlignment="1">
      <alignment horizontal="center" vertical="center"/>
    </xf>
    <xf numFmtId="3" fontId="69" fillId="2" borderId="16" xfId="0" applyNumberFormat="1" applyFont="1" applyFill="1" applyBorder="1" applyAlignment="1">
      <alignment horizontal="right"/>
    </xf>
    <xf numFmtId="3" fontId="0" fillId="34" borderId="52" xfId="0" applyNumberFormat="1" applyFill="1" applyBorder="1" applyAlignment="1">
      <alignment/>
    </xf>
    <xf numFmtId="0" fontId="0" fillId="0" borderId="45" xfId="0" applyBorder="1" applyAlignment="1">
      <alignment horizontal="left" vertical="center" wrapText="1"/>
    </xf>
    <xf numFmtId="0" fontId="0" fillId="0" borderId="53" xfId="0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34" borderId="41" xfId="0" applyNumberFormat="1" applyFill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9" xfId="0" applyBorder="1" applyAlignment="1">
      <alignment horizontal="left"/>
    </xf>
    <xf numFmtId="3" fontId="0" fillId="8" borderId="17" xfId="0" applyNumberFormat="1" applyFill="1" applyBorder="1" applyAlignment="1">
      <alignment horizontal="right"/>
    </xf>
    <xf numFmtId="0" fontId="0" fillId="0" borderId="55" xfId="0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41" xfId="0" applyFill="1" applyBorder="1" applyAlignment="1">
      <alignment/>
    </xf>
    <xf numFmtId="0" fontId="74" fillId="0" borderId="15" xfId="0" applyFont="1" applyBorder="1" applyAlignment="1">
      <alignment horizontal="center" wrapText="1"/>
    </xf>
    <xf numFmtId="0" fontId="69" fillId="0" borderId="10" xfId="0" applyFont="1" applyBorder="1" applyAlignment="1">
      <alignment horizontal="left"/>
    </xf>
    <xf numFmtId="0" fontId="75" fillId="0" borderId="16" xfId="0" applyFont="1" applyFill="1" applyBorder="1" applyAlignment="1">
      <alignment horizontal="center" wrapText="1"/>
    </xf>
    <xf numFmtId="3" fontId="69" fillId="35" borderId="17" xfId="0" applyNumberFormat="1" applyFont="1" applyFill="1" applyBorder="1" applyAlignment="1">
      <alignment/>
    </xf>
    <xf numFmtId="0" fontId="65" fillId="0" borderId="10" xfId="0" applyFont="1" applyBorder="1" applyAlignment="1">
      <alignment wrapText="1"/>
    </xf>
    <xf numFmtId="167" fontId="65" fillId="0" borderId="10" xfId="0" applyNumberFormat="1" applyFont="1" applyBorder="1" applyAlignment="1">
      <alignment wrapText="1"/>
    </xf>
    <xf numFmtId="0" fontId="69" fillId="0" borderId="10" xfId="0" applyFont="1" applyBorder="1" applyAlignment="1">
      <alignment/>
    </xf>
    <xf numFmtId="166" fontId="74" fillId="0" borderId="16" xfId="0" applyNumberFormat="1" applyFont="1" applyBorder="1" applyAlignment="1">
      <alignment wrapText="1"/>
    </xf>
    <xf numFmtId="166" fontId="74" fillId="0" borderId="10" xfId="0" applyNumberFormat="1" applyFont="1" applyBorder="1" applyAlignment="1">
      <alignment wrapText="1"/>
    </xf>
    <xf numFmtId="166" fontId="14" fillId="0" borderId="10" xfId="0" applyNumberFormat="1" applyFont="1" applyBorder="1" applyAlignment="1">
      <alignment vertical="center"/>
    </xf>
    <xf numFmtId="0" fontId="0" fillId="34" borderId="41" xfId="0" applyFill="1" applyBorder="1" applyAlignment="1">
      <alignment horizontal="right"/>
    </xf>
    <xf numFmtId="0" fontId="0" fillId="34" borderId="52" xfId="0" applyFill="1" applyBorder="1" applyAlignment="1">
      <alignment horizontal="right"/>
    </xf>
    <xf numFmtId="0" fontId="0" fillId="34" borderId="41" xfId="0" applyFill="1" applyBorder="1" applyAlignment="1">
      <alignment horizontal="right" vertical="center"/>
    </xf>
    <xf numFmtId="3" fontId="0" fillId="0" borderId="45" xfId="0" applyNumberFormat="1" applyBorder="1" applyAlignment="1">
      <alignment/>
    </xf>
    <xf numFmtId="3" fontId="0" fillId="34" borderId="11" xfId="0" applyNumberFormat="1" applyFill="1" applyBorder="1" applyAlignment="1">
      <alignment horizontal="right"/>
    </xf>
    <xf numFmtId="0" fontId="0" fillId="0" borderId="17" xfId="0" applyBorder="1" applyAlignment="1">
      <alignment horizontal="left"/>
    </xf>
    <xf numFmtId="167" fontId="0" fillId="0" borderId="28" xfId="0" applyNumberFormat="1" applyBorder="1" applyAlignment="1">
      <alignment horizontal="center"/>
    </xf>
    <xf numFmtId="0" fontId="73" fillId="34" borderId="17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/>
    </xf>
    <xf numFmtId="0" fontId="69" fillId="0" borderId="17" xfId="0" applyFont="1" applyBorder="1" applyAlignment="1">
      <alignment horizontal="right" wrapText="1"/>
    </xf>
    <xf numFmtId="0" fontId="69" fillId="0" borderId="16" xfId="0" applyFont="1" applyFill="1" applyBorder="1" applyAlignment="1">
      <alignment horizontal="right" wrapText="1"/>
    </xf>
    <xf numFmtId="0" fontId="72" fillId="0" borderId="17" xfId="0" applyFont="1" applyBorder="1" applyAlignment="1">
      <alignment horizontal="center" wrapText="1"/>
    </xf>
    <xf numFmtId="166" fontId="69" fillId="0" borderId="17" xfId="0" applyNumberFormat="1" applyFont="1" applyBorder="1" applyAlignment="1">
      <alignment horizontal="right" wrapText="1"/>
    </xf>
    <xf numFmtId="166" fontId="69" fillId="0" borderId="16" xfId="0" applyNumberFormat="1" applyFont="1" applyBorder="1" applyAlignment="1">
      <alignment horizontal="right" wrapText="1"/>
    </xf>
    <xf numFmtId="3" fontId="69" fillId="0" borderId="17" xfId="0" applyNumberFormat="1" applyFont="1" applyBorder="1" applyAlignment="1">
      <alignment horizontal="right" wrapText="1"/>
    </xf>
    <xf numFmtId="167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3" fontId="0" fillId="2" borderId="26" xfId="0" applyNumberForma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 wrapText="1"/>
    </xf>
    <xf numFmtId="3" fontId="64" fillId="0" borderId="15" xfId="0" applyNumberFormat="1" applyFont="1" applyFill="1" applyBorder="1" applyAlignment="1">
      <alignment/>
    </xf>
    <xf numFmtId="4" fontId="57" fillId="0" borderId="0" xfId="0" applyNumberFormat="1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166" fontId="0" fillId="2" borderId="46" xfId="0" applyNumberFormat="1" applyFill="1" applyBorder="1" applyAlignment="1">
      <alignment horizontal="center" vertical="center" wrapText="1"/>
    </xf>
    <xf numFmtId="166" fontId="0" fillId="2" borderId="35" xfId="0" applyNumberFormat="1" applyFill="1" applyBorder="1" applyAlignment="1">
      <alignment horizontal="center" vertical="center" wrapText="1"/>
    </xf>
    <xf numFmtId="166" fontId="0" fillId="2" borderId="40" xfId="0" applyNumberFormat="1" applyFill="1" applyBorder="1" applyAlignment="1">
      <alignment horizontal="center" vertical="center" wrapText="1"/>
    </xf>
    <xf numFmtId="3" fontId="0" fillId="2" borderId="45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41" xfId="0" applyNumberFormat="1" applyFill="1" applyBorder="1" applyAlignment="1">
      <alignment horizontal="center" vertical="center" wrapText="1"/>
    </xf>
    <xf numFmtId="0" fontId="67" fillId="36" borderId="27" xfId="0" applyFont="1" applyFill="1" applyBorder="1" applyAlignment="1">
      <alignment horizontal="center" vertical="center"/>
    </xf>
    <xf numFmtId="0" fontId="67" fillId="36" borderId="58" xfId="0" applyFont="1" applyFill="1" applyBorder="1" applyAlignment="1">
      <alignment horizontal="center" vertical="center"/>
    </xf>
    <xf numFmtId="0" fontId="67" fillId="36" borderId="37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0" fillId="2" borderId="3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166" fontId="0" fillId="2" borderId="62" xfId="0" applyNumberFormat="1" applyFont="1" applyFill="1" applyBorder="1" applyAlignment="1">
      <alignment horizontal="center" vertical="center" wrapText="1"/>
    </xf>
    <xf numFmtId="166" fontId="0" fillId="2" borderId="27" xfId="0" applyNumberFormat="1" applyFont="1" applyFill="1" applyBorder="1" applyAlignment="1">
      <alignment horizontal="center" vertical="center" wrapText="1"/>
    </xf>
    <xf numFmtId="166" fontId="0" fillId="2" borderId="64" xfId="0" applyNumberFormat="1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center" vertical="center"/>
    </xf>
    <xf numFmtId="0" fontId="64" fillId="34" borderId="58" xfId="0" applyFont="1" applyFill="1" applyBorder="1" applyAlignment="1">
      <alignment horizontal="center" vertical="center"/>
    </xf>
    <xf numFmtId="0" fontId="64" fillId="34" borderId="37" xfId="0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4" fillId="36" borderId="58" xfId="0" applyFont="1" applyFill="1" applyBorder="1" applyAlignment="1">
      <alignment horizontal="center" vertical="center"/>
    </xf>
    <xf numFmtId="0" fontId="64" fillId="36" borderId="37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6" fontId="0" fillId="2" borderId="35" xfId="0" applyNumberFormat="1" applyFont="1" applyFill="1" applyBorder="1" applyAlignment="1">
      <alignment horizontal="center" vertical="center" wrapText="1"/>
    </xf>
    <xf numFmtId="166" fontId="0" fillId="2" borderId="10" xfId="0" applyNumberFormat="1" applyFont="1" applyFill="1" applyBorder="1" applyAlignment="1">
      <alignment horizontal="center" vertical="center" wrapText="1"/>
    </xf>
    <xf numFmtId="166" fontId="0" fillId="2" borderId="2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69" fillId="2" borderId="35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69" fillId="2" borderId="26" xfId="0" applyFont="1" applyFill="1" applyBorder="1" applyAlignment="1">
      <alignment horizontal="center" vertical="center" wrapText="1"/>
    </xf>
    <xf numFmtId="0" fontId="69" fillId="2" borderId="59" xfId="0" applyFont="1" applyFill="1" applyBorder="1" applyAlignment="1">
      <alignment horizontal="center" vertical="center" wrapText="1"/>
    </xf>
    <xf numFmtId="0" fontId="69" fillId="2" borderId="48" xfId="0" applyFont="1" applyFill="1" applyBorder="1" applyAlignment="1">
      <alignment horizontal="center" vertical="center" wrapText="1"/>
    </xf>
    <xf numFmtId="0" fontId="69" fillId="2" borderId="54" xfId="0" applyFont="1" applyFill="1" applyBorder="1" applyAlignment="1">
      <alignment horizontal="center" vertical="center" wrapText="1"/>
    </xf>
    <xf numFmtId="0" fontId="69" fillId="2" borderId="35" xfId="0" applyFont="1" applyFill="1" applyBorder="1" applyAlignment="1">
      <alignment horizontal="center" vertical="center"/>
    </xf>
    <xf numFmtId="0" fontId="69" fillId="2" borderId="10" xfId="0" applyFont="1" applyFill="1" applyBorder="1" applyAlignment="1">
      <alignment horizontal="center" vertical="center"/>
    </xf>
    <xf numFmtId="0" fontId="69" fillId="2" borderId="26" xfId="0" applyFont="1" applyFill="1" applyBorder="1" applyAlignment="1">
      <alignment horizontal="center" vertical="center"/>
    </xf>
    <xf numFmtId="166" fontId="69" fillId="2" borderId="62" xfId="0" applyNumberFormat="1" applyFont="1" applyFill="1" applyBorder="1" applyAlignment="1">
      <alignment horizontal="center" vertical="center" wrapText="1"/>
    </xf>
    <xf numFmtId="166" fontId="69" fillId="2" borderId="27" xfId="0" applyNumberFormat="1" applyFont="1" applyFill="1" applyBorder="1" applyAlignment="1">
      <alignment horizontal="center" vertical="center" wrapText="1"/>
    </xf>
    <xf numFmtId="166" fontId="69" fillId="2" borderId="64" xfId="0" applyNumberFormat="1" applyFont="1" applyFill="1" applyBorder="1" applyAlignment="1">
      <alignment horizontal="center" vertical="center" wrapText="1"/>
    </xf>
    <xf numFmtId="0" fontId="69" fillId="2" borderId="65" xfId="0" applyFont="1" applyFill="1" applyBorder="1" applyAlignment="1">
      <alignment horizontal="center" vertical="center" wrapText="1"/>
    </xf>
    <xf numFmtId="0" fontId="69" fillId="2" borderId="15" xfId="0" applyFont="1" applyFill="1" applyBorder="1" applyAlignment="1">
      <alignment horizontal="center" vertical="center" wrapText="1"/>
    </xf>
    <xf numFmtId="0" fontId="69" fillId="2" borderId="66" xfId="0" applyFont="1" applyFill="1" applyBorder="1" applyAlignment="1">
      <alignment horizontal="center" vertical="center" wrapText="1"/>
    </xf>
    <xf numFmtId="166" fontId="69" fillId="2" borderId="60" xfId="0" applyNumberFormat="1" applyFont="1" applyFill="1" applyBorder="1" applyAlignment="1">
      <alignment horizontal="center" vertical="center" wrapText="1"/>
    </xf>
    <xf numFmtId="166" fontId="69" fillId="2" borderId="51" xfId="0" applyNumberFormat="1" applyFont="1" applyFill="1" applyBorder="1" applyAlignment="1">
      <alignment horizontal="center" vertical="center" wrapText="1"/>
    </xf>
    <xf numFmtId="166" fontId="69" fillId="2" borderId="61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39" sqref="F39:F47"/>
    </sheetView>
  </sheetViews>
  <sheetFormatPr defaultColWidth="8.796875" defaultRowHeight="14.25"/>
  <cols>
    <col min="1" max="1" width="27.5" style="0" customWidth="1"/>
    <col min="2" max="2" width="23.09765625" style="0" customWidth="1"/>
    <col min="3" max="3" width="18.59765625" style="0" customWidth="1"/>
    <col min="4" max="4" width="13.09765625" style="0" customWidth="1"/>
    <col min="5" max="5" width="12" style="0" customWidth="1"/>
    <col min="6" max="6" width="12.69921875" style="0" customWidth="1"/>
    <col min="7" max="7" width="19.09765625" style="0" customWidth="1"/>
  </cols>
  <sheetData>
    <row r="1" spans="1:12" ht="33.75" customHeight="1">
      <c r="A1" s="744" t="s">
        <v>2260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</row>
    <row r="2" spans="1:12" ht="1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5.75">
      <c r="A3" s="383" t="s">
        <v>2259</v>
      </c>
      <c r="B3" s="383"/>
      <c r="C3" s="383"/>
      <c r="D3" s="382"/>
      <c r="E3" s="382"/>
      <c r="F3" s="382"/>
      <c r="G3" s="382"/>
      <c r="H3" s="382"/>
      <c r="I3" s="382"/>
      <c r="J3" s="382"/>
      <c r="K3" s="382"/>
      <c r="L3" s="382"/>
    </row>
    <row r="4" spans="1:12" ht="15.75">
      <c r="A4" s="383"/>
      <c r="B4" s="745"/>
      <c r="C4" s="745"/>
      <c r="D4" s="745"/>
      <c r="E4" s="745"/>
      <c r="F4" s="382"/>
      <c r="G4" s="382"/>
      <c r="H4" s="382"/>
      <c r="I4" s="382"/>
      <c r="J4" s="382"/>
      <c r="K4" s="382"/>
      <c r="L4" s="382"/>
    </row>
    <row r="5" spans="1:12" ht="21.75" customHeight="1">
      <c r="A5" s="383" t="s">
        <v>950</v>
      </c>
      <c r="B5" s="383"/>
      <c r="C5" s="383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21.75" customHeight="1">
      <c r="A6" s="382" t="s">
        <v>2031</v>
      </c>
      <c r="B6" s="383"/>
      <c r="C6" s="383"/>
      <c r="D6" s="382"/>
      <c r="E6" s="382"/>
      <c r="F6" s="382"/>
      <c r="G6" s="382"/>
      <c r="H6" s="382"/>
      <c r="I6" s="382"/>
      <c r="J6" s="382"/>
      <c r="K6" s="382"/>
      <c r="L6" s="382"/>
    </row>
    <row r="7" spans="1:12" ht="21.75" customHeight="1">
      <c r="A7" s="384" t="s">
        <v>2258</v>
      </c>
      <c r="B7" s="383"/>
      <c r="C7" s="383"/>
      <c r="D7" s="382"/>
      <c r="E7" s="382"/>
      <c r="F7" s="382"/>
      <c r="G7" s="382"/>
      <c r="H7" s="382"/>
      <c r="I7" s="382"/>
      <c r="J7" s="382"/>
      <c r="K7" s="382"/>
      <c r="L7" s="382"/>
    </row>
    <row r="8" spans="1:12" ht="21.75" customHeight="1">
      <c r="A8" s="384" t="s">
        <v>1906</v>
      </c>
      <c r="B8" s="383"/>
      <c r="C8" s="383"/>
      <c r="D8" s="382"/>
      <c r="E8" s="382"/>
      <c r="F8" s="382"/>
      <c r="G8" s="382"/>
      <c r="H8" s="382"/>
      <c r="I8" s="382"/>
      <c r="J8" s="382"/>
      <c r="K8" s="382"/>
      <c r="L8" s="382"/>
    </row>
    <row r="9" spans="1:12" ht="21.75" customHeight="1">
      <c r="A9" s="382" t="s">
        <v>1907</v>
      </c>
      <c r="B9" s="383"/>
      <c r="C9" s="383"/>
      <c r="D9" s="382"/>
      <c r="E9" s="382"/>
      <c r="F9" s="382"/>
      <c r="G9" s="382"/>
      <c r="H9" s="382"/>
      <c r="I9" s="382"/>
      <c r="J9" s="382"/>
      <c r="K9" s="382"/>
      <c r="L9" s="382"/>
    </row>
    <row r="10" ht="12.75" customHeight="1">
      <c r="F10" s="381"/>
    </row>
    <row r="11" spans="1:6" ht="77.25" customHeight="1">
      <c r="A11" s="385" t="s">
        <v>1908</v>
      </c>
      <c r="B11" s="385" t="s">
        <v>2186</v>
      </c>
      <c r="C11" s="385" t="s">
        <v>1909</v>
      </c>
      <c r="F11" s="381"/>
    </row>
    <row r="12" spans="1:6" ht="20.25">
      <c r="A12" s="592" t="s">
        <v>948</v>
      </c>
      <c r="B12" s="393">
        <f>'Gmina Mrozy_ok'!I138</f>
        <v>1406902</v>
      </c>
      <c r="C12" s="393">
        <f>'Gmina Mrozy_ok'!K137</f>
        <v>101</v>
      </c>
      <c r="F12" s="381"/>
    </row>
    <row r="13" spans="1:6" ht="20.25" customHeight="1">
      <c r="A13" s="592" t="s">
        <v>274</v>
      </c>
      <c r="B13" s="386">
        <f>'Miasto Mińsk Mazowiecki_ok'!N124</f>
        <v>4885284</v>
      </c>
      <c r="C13" s="386">
        <f>'Miasto Mińsk Mazowiecki_ok'!P123</f>
        <v>91</v>
      </c>
      <c r="F13" s="381"/>
    </row>
    <row r="14" spans="1:6" ht="20.25" customHeight="1">
      <c r="A14" s="592" t="s">
        <v>359</v>
      </c>
      <c r="B14" s="386">
        <f>'Gmina Mińsk Mazowiecki_ok'!M183</f>
        <v>2139402</v>
      </c>
      <c r="C14" s="386">
        <f>'Gmina Mińsk Mazowiecki_ok'!O182</f>
        <v>148</v>
      </c>
      <c r="F14" s="381"/>
    </row>
    <row r="15" spans="1:6" ht="20.25" customHeight="1">
      <c r="A15" s="592" t="s">
        <v>413</v>
      </c>
      <c r="B15" s="386">
        <f>'Gmina Halinów_ok'!M142</f>
        <v>2765410</v>
      </c>
      <c r="C15" s="386">
        <f>'Gmina Halinów_ok'!O141</f>
        <v>108</v>
      </c>
      <c r="F15" s="381"/>
    </row>
    <row r="16" spans="1:6" ht="20.25" customHeight="1">
      <c r="A16" s="592" t="s">
        <v>513</v>
      </c>
      <c r="B16" s="386">
        <f>'Gmina Dębe Wielkie_ok'!M139</f>
        <v>1375742</v>
      </c>
      <c r="C16" s="386">
        <f>'Gmina Dębe Wielkie_ok'!O138</f>
        <v>105</v>
      </c>
      <c r="F16" s="381"/>
    </row>
    <row r="17" spans="1:6" ht="20.25" customHeight="1">
      <c r="A17" s="592" t="s">
        <v>1903</v>
      </c>
      <c r="B17" s="386">
        <f>'Gmina Siennica_ok'!M121</f>
        <v>565240</v>
      </c>
      <c r="C17" s="386">
        <f>'Gmina Siennica_ok'!O120</f>
        <v>88</v>
      </c>
      <c r="F17" s="381"/>
    </row>
    <row r="18" spans="1:6" ht="20.25" customHeight="1">
      <c r="A18" s="592" t="s">
        <v>703</v>
      </c>
      <c r="B18" s="386">
        <f>'Gmina Latowicz_ok'!M83</f>
        <v>340942</v>
      </c>
      <c r="C18" s="386">
        <f>'Gmina Latowicz_ok'!O82</f>
        <v>54</v>
      </c>
      <c r="F18" s="381"/>
    </row>
    <row r="19" spans="1:6" ht="20.25" customHeight="1">
      <c r="A19" s="592" t="s">
        <v>1761</v>
      </c>
      <c r="B19" s="386">
        <f>'Gmina Cegłów_ok'!M89</f>
        <v>621352</v>
      </c>
      <c r="C19" s="386">
        <f>'Gmina Cegłów_ok'!O88</f>
        <v>60</v>
      </c>
      <c r="F19" s="381"/>
    </row>
    <row r="20" spans="1:6" ht="20.25" customHeight="1">
      <c r="A20" s="592" t="s">
        <v>1636</v>
      </c>
      <c r="B20" s="386">
        <f>'Miasto Sulejówek_ok'!M149</f>
        <v>2808026</v>
      </c>
      <c r="C20" s="386">
        <f>'Miasto Sulejówek_ok'!O148</f>
        <v>118</v>
      </c>
      <c r="F20" s="381"/>
    </row>
    <row r="21" spans="1:6" ht="20.25" customHeight="1">
      <c r="A21" s="592" t="s">
        <v>1365</v>
      </c>
      <c r="B21" s="386">
        <f>'Gmina Dobre_ok'!M116</f>
        <v>381405.44</v>
      </c>
      <c r="C21" s="386">
        <f>'Gmina Dobre_ok'!O115</f>
        <v>84</v>
      </c>
      <c r="F21" s="381"/>
    </row>
    <row r="22" spans="1:6" ht="20.25" customHeight="1">
      <c r="A22" s="592" t="s">
        <v>1334</v>
      </c>
      <c r="B22" s="386">
        <f>'Gmina Jakubów_ok'!M92</f>
        <v>455282</v>
      </c>
      <c r="C22" s="386">
        <f>'Gmina Jakubów_ok'!O91</f>
        <v>61</v>
      </c>
      <c r="F22" s="381"/>
    </row>
    <row r="23" spans="1:6" ht="20.25" customHeight="1">
      <c r="A23" s="592" t="s">
        <v>1910</v>
      </c>
      <c r="B23" s="386">
        <f>'Gmina Kałuszyn_ok'!M85</f>
        <v>779102</v>
      </c>
      <c r="C23" s="386">
        <f>'Gmina Kałuszyn_ok'!O84</f>
        <v>47</v>
      </c>
      <c r="F23" s="381"/>
    </row>
    <row r="24" spans="1:6" ht="20.25" customHeight="1">
      <c r="A24" s="592" t="s">
        <v>1641</v>
      </c>
      <c r="B24" s="386">
        <f>'Gmina Stanisławów_ok'!M98</f>
        <v>1070256</v>
      </c>
      <c r="C24" s="386">
        <f>'Gmina Stanisławów_ok'!O97</f>
        <v>67</v>
      </c>
      <c r="F24" s="381"/>
    </row>
    <row r="25" spans="1:6" ht="20.25" customHeight="1" thickBot="1">
      <c r="A25" s="601" t="s">
        <v>1794</v>
      </c>
      <c r="B25" s="387">
        <f>'Gmina Kotuń_ok'!M113</f>
        <v>370594</v>
      </c>
      <c r="C25" s="387">
        <f>'Gmina Kotuń_ok'!O112</f>
        <v>79</v>
      </c>
      <c r="F25" s="381"/>
    </row>
    <row r="26" spans="1:6" ht="20.25" customHeight="1" thickBot="1">
      <c r="A26" s="388" t="s">
        <v>1712</v>
      </c>
      <c r="B26" s="389">
        <f>SUM(B12:B25)</f>
        <v>19964939.44</v>
      </c>
      <c r="C26" s="389">
        <f>SUM(C12:C25)</f>
        <v>1211</v>
      </c>
      <c r="F26" s="381"/>
    </row>
    <row r="27" ht="12.75" customHeight="1">
      <c r="F27" s="381"/>
    </row>
    <row r="28" ht="12.75" customHeight="1">
      <c r="F28" s="381"/>
    </row>
    <row r="29" spans="1:7" ht="15.75">
      <c r="A29" s="745" t="s">
        <v>2091</v>
      </c>
      <c r="B29" s="745"/>
      <c r="C29" s="745"/>
      <c r="D29" s="745"/>
      <c r="E29" s="745"/>
      <c r="F29" s="745"/>
      <c r="G29" s="745"/>
    </row>
    <row r="30" ht="15" thickBot="1"/>
    <row r="31" spans="1:7" ht="28.5" customHeight="1">
      <c r="A31" s="737" t="s">
        <v>152</v>
      </c>
      <c r="B31" s="739" t="s">
        <v>1706</v>
      </c>
      <c r="C31" s="740"/>
      <c r="D31" s="740"/>
      <c r="E31" s="740"/>
      <c r="F31" s="741"/>
      <c r="G31" s="742" t="s">
        <v>1716</v>
      </c>
    </row>
    <row r="32" spans="1:7" ht="29.25" thickBot="1">
      <c r="A32" s="738"/>
      <c r="B32" s="282" t="s">
        <v>1707</v>
      </c>
      <c r="C32" s="283" t="s">
        <v>1708</v>
      </c>
      <c r="D32" s="283" t="s">
        <v>1709</v>
      </c>
      <c r="E32" s="283" t="s">
        <v>1710</v>
      </c>
      <c r="F32" s="284" t="s">
        <v>1711</v>
      </c>
      <c r="G32" s="743"/>
    </row>
    <row r="33" spans="1:7" ht="14.25">
      <c r="A33" s="339" t="s">
        <v>147</v>
      </c>
      <c r="B33" s="285">
        <f>'Gmina Mrozy_ok'!H134+'Miasto Mińsk Mazowiecki_ok'!M120+'Gmina Mińsk Mazowiecki_ok'!L180+'Gmina Halinów_ok'!L138+'Gmina Siennica_ok'!L119+'Miasto Sulejówek_ok'!L145+'Gmina Jakubów_ok'!L88+'Gmina Kałuszyn_ok'!L82+'Gmina Stanisławów_ok'!L94+'Gmina Kotuń_ok'!L110</f>
        <v>549354</v>
      </c>
      <c r="C33" s="286"/>
      <c r="D33" s="286"/>
      <c r="E33" s="286"/>
      <c r="F33" s="294"/>
      <c r="G33" s="287">
        <f>'Gmina Mrozy_ok'!K134+'Miasto Mińsk Mazowiecki_ok'!P120+'Gmina Mińsk Mazowiecki_ok'!O180+'Gmina Halinów_ok'!O138+'Gmina Siennica_ok'!O119+'Miasto Sulejówek_ok'!O145+'Gmina Jakubów_ok'!O88+'Gmina Kałuszyn_ok'!O82+'Gmina Stanisławów_ok'!O94+'Gmina Kotuń_ok'!O110</f>
        <v>61</v>
      </c>
    </row>
    <row r="34" spans="1:7" ht="14.25">
      <c r="A34" s="340" t="s">
        <v>149</v>
      </c>
      <c r="B34" s="288">
        <f>'Gmina Mrozy_ok'!H135+'Miasto Mińsk Mazowiecki_ok'!M121+'Gmina Mińsk Mazowiecki_ok'!L181+'Gmina Siennica_ok'!L118+'Miasto Sulejówek_ok'!L146+'Gmina Jakubów_ok'!L89+'Gmina Stanisławów_ok'!L95+'Gmina Kotuń_ok'!L109</f>
        <v>6172182</v>
      </c>
      <c r="C34" s="289"/>
      <c r="D34" s="289"/>
      <c r="E34" s="289"/>
      <c r="F34" s="295"/>
      <c r="G34" s="290">
        <f>'Gmina Mrozy_ok'!K135+'Miasto Mińsk Mazowiecki_ok'!P121+'Gmina Mińsk Mazowiecki_ok'!O181+'Gmina Siennica_ok'!O118+'Miasto Sulejówek_ok'!O146+'Gmina Jakubów_ok'!O89+'Gmina Stanisławów_ok'!O95+'Gmina Kotuń_ok'!O109</f>
        <v>418</v>
      </c>
    </row>
    <row r="35" spans="1:7" ht="14.25">
      <c r="A35" s="340" t="s">
        <v>12</v>
      </c>
      <c r="B35" s="291"/>
      <c r="C35" s="12">
        <f>'Gmina Mrozy_ok'!I136+'Miasto Mińsk Mazowiecki_ok'!N122+'Gmina Halinów_ok'!M139+'Gmina Dębe Wielkie_ok'!M136+'Gmina Latowicz_ok'!M81+'Gmina Cegłów_ok'!M86+'Gmina Dobre_ok'!M114+'Gmina Jakubów_ok'!M90+'Gmina Kałuszyn_ok'!M83+'Gmina Stanisławów_ok'!M96+'Gmina Kotuń_ok'!M111</f>
        <v>1672136.88</v>
      </c>
      <c r="D35" s="12">
        <f>'Gmina Mrozy_ok'!J136+'Miasto Mińsk Mazowiecki_ok'!O122+'Gmina Halinów_ok'!N139+'Gmina Dębe Wielkie_ok'!N136+'Gmina Latowicz_ok'!N81+'Gmina Cegłów_ok'!N86+'Gmina Dobre_ok'!N114+'Gmina Jakubów_ok'!N90+'Gmina Kałuszyn_ok'!N83+'Gmina Stanisławów_ok'!N96+'Gmina Kotuń_ok'!N111</f>
        <v>6856928.56</v>
      </c>
      <c r="E35" s="289"/>
      <c r="F35" s="295"/>
      <c r="G35" s="292">
        <f>'Gmina Mrozy_ok'!K136+'Miasto Mińsk Mazowiecki_ok'!P122+'Gmina Halinów_ok'!O139+'Gmina Dębe Wielkie_ok'!O136+'Gmina Latowicz_ok'!O81+'Gmina Cegłów_ok'!O86+'Gmina Dobre_ok'!O114+'Gmina Jakubów_ok'!O90+'Gmina Kałuszyn_ok'!O83+'Gmina Stanisławów_ok'!O96+'Gmina Kotuń_ok'!O111</f>
        <v>470</v>
      </c>
    </row>
    <row r="36" spans="1:7" ht="15" thickBot="1">
      <c r="A36" s="333" t="s">
        <v>364</v>
      </c>
      <c r="B36" s="296"/>
      <c r="C36" s="293"/>
      <c r="D36" s="293"/>
      <c r="E36" s="83">
        <f>'Gmina Halinów_ok'!M140+'Gmina Dębe Wielkie_ok'!M137+'Gmina Cegłów_ok'!M87+'Miasto Sulejówek_ok'!M147</f>
        <v>1644144</v>
      </c>
      <c r="F36" s="83">
        <f>'Gmina Halinów_ok'!N140+'Gmina Dębe Wielkie_ok'!N137+'Gmina Cegłów_ok'!N87+'Miasto Sulejówek_ok'!N147</f>
        <v>3070194</v>
      </c>
      <c r="G36" s="292">
        <f>'Gmina Halinów_ok'!O140+'Gmina Dębe Wielkie_ok'!O137+'Gmina Cegłów_ok'!O87+'Miasto Sulejówek_ok'!O147</f>
        <v>262</v>
      </c>
    </row>
    <row r="37" spans="5:7" ht="15.75" thickBot="1">
      <c r="E37" t="s">
        <v>1712</v>
      </c>
      <c r="F37" s="341">
        <f>SUM(B33:F36)</f>
        <v>19964939.439999998</v>
      </c>
      <c r="G37" s="342">
        <f>SUM(G33:G36)</f>
        <v>1211</v>
      </c>
    </row>
    <row r="39" ht="14.25"/>
    <row r="40" ht="14.25">
      <c r="F40" s="277"/>
    </row>
    <row r="41" ht="14.25">
      <c r="F41" s="277"/>
    </row>
    <row r="42" ht="15">
      <c r="F42" s="736"/>
    </row>
    <row r="43" ht="14.25">
      <c r="F43" s="277"/>
    </row>
    <row r="44" ht="14.25">
      <c r="F44" s="277"/>
    </row>
    <row r="45" ht="14.25">
      <c r="F45" s="277"/>
    </row>
  </sheetData>
  <sheetProtection/>
  <mergeCells count="6">
    <mergeCell ref="A31:A32"/>
    <mergeCell ref="B31:F31"/>
    <mergeCell ref="G31:G32"/>
    <mergeCell ref="A1:L1"/>
    <mergeCell ref="B4:E4"/>
    <mergeCell ref="A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9"/>
  <sheetViews>
    <sheetView zoomScale="50" zoomScaleNormal="50" zoomScalePageLayoutView="0" workbookViewId="0" topLeftCell="A124">
      <selection activeCell="L143" sqref="L143:N143"/>
    </sheetView>
  </sheetViews>
  <sheetFormatPr defaultColWidth="8.796875" defaultRowHeight="14.25"/>
  <cols>
    <col min="1" max="1" width="11.8984375" style="0" customWidth="1"/>
    <col min="2" max="2" width="12.3984375" style="0" customWidth="1"/>
    <col min="3" max="3" width="14" style="0" customWidth="1"/>
    <col min="4" max="4" width="16.5" style="0" customWidth="1"/>
    <col min="5" max="5" width="11.19921875" style="0" customWidth="1"/>
    <col min="7" max="7" width="17.8984375" style="0" customWidth="1"/>
    <col min="8" max="8" width="25.09765625" style="0" customWidth="1"/>
    <col min="9" max="9" width="19" style="1" customWidth="1"/>
    <col min="10" max="10" width="14.5" style="1" customWidth="1"/>
    <col min="11" max="11" width="14.69921875" style="2" customWidth="1"/>
    <col min="12" max="12" width="15.8984375" style="2" customWidth="1"/>
    <col min="13" max="13" width="15.5" style="2" customWidth="1"/>
    <col min="14" max="14" width="16.69921875" style="2" customWidth="1"/>
    <col min="15" max="15" width="14.09765625" style="0" customWidth="1"/>
    <col min="16" max="19" width="15.5" style="0" customWidth="1"/>
    <col min="20" max="23" width="1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3"/>
      <c r="I2" s="182"/>
      <c r="J2" s="193"/>
      <c r="K2" s="135"/>
    </row>
    <row r="3" spans="2:11" ht="30" customHeight="1">
      <c r="B3" s="782" t="s">
        <v>1027</v>
      </c>
      <c r="C3" s="783"/>
      <c r="D3" s="783"/>
      <c r="E3" s="783"/>
      <c r="F3" s="783"/>
      <c r="G3" s="783"/>
      <c r="H3" s="783"/>
      <c r="I3" s="784"/>
      <c r="J3" s="193"/>
      <c r="K3" s="135"/>
    </row>
    <row r="4" spans="2:11" ht="15">
      <c r="B4" s="183"/>
      <c r="C4" s="183"/>
      <c r="D4" s="183"/>
      <c r="E4" s="183"/>
      <c r="F4" s="183"/>
      <c r="G4" s="183"/>
      <c r="H4" s="183"/>
      <c r="I4" s="182"/>
      <c r="J4" s="193"/>
      <c r="K4" s="135"/>
    </row>
    <row r="5" spans="2:11" ht="15">
      <c r="B5" s="755" t="s">
        <v>1012</v>
      </c>
      <c r="C5" s="755"/>
      <c r="D5" s="755"/>
      <c r="E5" s="755"/>
      <c r="F5" s="755"/>
      <c r="G5" s="755"/>
      <c r="H5" s="755"/>
      <c r="I5" s="755"/>
      <c r="J5" s="193"/>
      <c r="K5" s="135"/>
    </row>
    <row r="6" spans="2:11" ht="15">
      <c r="B6" s="183"/>
      <c r="C6" s="183"/>
      <c r="D6" s="183"/>
      <c r="E6" s="183"/>
      <c r="F6" s="183"/>
      <c r="G6" s="183"/>
      <c r="H6" s="183"/>
      <c r="I6" s="182"/>
      <c r="J6" s="193"/>
      <c r="K6" s="135"/>
    </row>
    <row r="7" spans="2:11" ht="15.75">
      <c r="B7" s="383" t="s">
        <v>950</v>
      </c>
      <c r="C7" s="182"/>
      <c r="D7" s="183"/>
      <c r="E7" s="183"/>
      <c r="F7" s="183"/>
      <c r="G7" s="182"/>
      <c r="H7" s="183"/>
      <c r="I7" s="182"/>
      <c r="J7" s="193"/>
      <c r="K7" s="135"/>
    </row>
    <row r="8" spans="2:11" ht="15.75">
      <c r="B8" s="383" t="s">
        <v>2031</v>
      </c>
      <c r="C8" s="182"/>
      <c r="D8" s="183"/>
      <c r="E8" s="183"/>
      <c r="F8" s="183"/>
      <c r="G8" s="182"/>
      <c r="H8" s="183"/>
      <c r="I8" s="182"/>
      <c r="J8" s="193"/>
      <c r="K8" s="135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L9"/>
      <c r="M9" s="355"/>
      <c r="N9"/>
      <c r="O9" s="2"/>
    </row>
    <row r="10" spans="2:11" ht="15.75">
      <c r="B10" s="186" t="s">
        <v>1634</v>
      </c>
      <c r="C10" s="182"/>
      <c r="D10" s="187"/>
      <c r="E10" s="183"/>
      <c r="F10" s="183"/>
      <c r="G10" s="182"/>
      <c r="H10" s="183"/>
      <c r="I10" s="182"/>
      <c r="J10" s="193"/>
      <c r="K10" s="135"/>
    </row>
    <row r="11" spans="2:11" ht="15">
      <c r="B11" s="182" t="s">
        <v>1024</v>
      </c>
      <c r="C11" s="182"/>
      <c r="D11" s="182"/>
      <c r="E11" s="182"/>
      <c r="F11" s="182"/>
      <c r="G11" s="182"/>
      <c r="H11" s="183"/>
      <c r="I11" s="182"/>
      <c r="J11" s="193"/>
      <c r="K11" s="135"/>
    </row>
    <row r="12" spans="2:11" ht="15.75">
      <c r="B12" s="188"/>
      <c r="C12" s="189"/>
      <c r="D12" s="187"/>
      <c r="E12" s="187"/>
      <c r="F12" s="187"/>
      <c r="G12" s="187"/>
      <c r="H12" s="190"/>
      <c r="I12" s="182"/>
      <c r="J12" s="193"/>
      <c r="K12" s="135"/>
    </row>
    <row r="13" spans="2:11" ht="18.75" customHeight="1">
      <c r="B13" s="188" t="s">
        <v>1015</v>
      </c>
      <c r="C13" s="185" t="s">
        <v>1016</v>
      </c>
      <c r="D13" s="187"/>
      <c r="E13" s="187"/>
      <c r="F13" s="187"/>
      <c r="G13" s="187"/>
      <c r="H13" s="645"/>
      <c r="I13" s="182"/>
      <c r="J13" s="193"/>
      <c r="K13" s="135"/>
    </row>
    <row r="14" spans="1:11" ht="15" thickBot="1">
      <c r="A14" s="29"/>
      <c r="B14" s="82"/>
      <c r="C14" s="29"/>
      <c r="D14" s="29"/>
      <c r="E14" s="29"/>
      <c r="F14" s="29"/>
      <c r="G14" s="29"/>
      <c r="H14" s="29"/>
      <c r="I14" s="82"/>
      <c r="J14" s="134"/>
      <c r="K14" s="135"/>
    </row>
    <row r="15" spans="1:23" ht="4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36.7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5.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43.5">
      <c r="A18" s="233" t="s">
        <v>7</v>
      </c>
      <c r="B18" s="48" t="s">
        <v>741</v>
      </c>
      <c r="C18" s="48" t="s">
        <v>742</v>
      </c>
      <c r="D18" s="124" t="s">
        <v>831</v>
      </c>
      <c r="E18" s="48"/>
      <c r="F18" s="48" t="s">
        <v>744</v>
      </c>
      <c r="G18" s="48" t="s">
        <v>742</v>
      </c>
      <c r="H18" s="641" t="s">
        <v>1272</v>
      </c>
      <c r="I18" s="40">
        <v>90976674</v>
      </c>
      <c r="J18" s="230" t="s">
        <v>364</v>
      </c>
      <c r="K18" s="144">
        <v>2</v>
      </c>
      <c r="L18" s="50"/>
      <c r="M18" s="49">
        <f>9934-6890</f>
        <v>3044</v>
      </c>
      <c r="N18" s="49">
        <f>13879-8826</f>
        <v>5053</v>
      </c>
      <c r="O18" s="49">
        <f>SUM(M18:N18)</f>
        <v>8097</v>
      </c>
      <c r="P18" s="50"/>
      <c r="Q18" s="49">
        <f>9934-6890</f>
        <v>3044</v>
      </c>
      <c r="R18" s="49">
        <f>13879-8826</f>
        <v>5053</v>
      </c>
      <c r="S18" s="49">
        <f>SUM(Q18:R18)</f>
        <v>8097</v>
      </c>
      <c r="T18" s="50"/>
      <c r="U18" s="49">
        <f>M18+Q18</f>
        <v>6088</v>
      </c>
      <c r="V18" s="49">
        <f>N18+R18</f>
        <v>10106</v>
      </c>
      <c r="W18" s="49">
        <f>SUM(U18:V18)</f>
        <v>16194</v>
      </c>
    </row>
    <row r="19" spans="1:23" ht="29.25">
      <c r="A19" s="234" t="s">
        <v>7</v>
      </c>
      <c r="B19" s="51" t="s">
        <v>741</v>
      </c>
      <c r="C19" s="51" t="s">
        <v>742</v>
      </c>
      <c r="D19" s="56" t="s">
        <v>832</v>
      </c>
      <c r="E19" s="51"/>
      <c r="F19" s="51" t="s">
        <v>744</v>
      </c>
      <c r="G19" s="51" t="s">
        <v>742</v>
      </c>
      <c r="H19" s="640" t="s">
        <v>1273</v>
      </c>
      <c r="I19" s="42">
        <v>91222063</v>
      </c>
      <c r="J19" s="136" t="s">
        <v>364</v>
      </c>
      <c r="K19" s="58">
        <v>6</v>
      </c>
      <c r="L19" s="41"/>
      <c r="M19" s="12">
        <f>17045-10119</f>
        <v>6926</v>
      </c>
      <c r="N19" s="12">
        <f>32564-18161</f>
        <v>14403</v>
      </c>
      <c r="O19" s="49">
        <f>SUM(M19:N19)</f>
        <v>21329</v>
      </c>
      <c r="P19" s="41"/>
      <c r="Q19" s="12">
        <f>17045-10119</f>
        <v>6926</v>
      </c>
      <c r="R19" s="12">
        <f>32564-18161</f>
        <v>14403</v>
      </c>
      <c r="S19" s="49">
        <f>SUM(Q19:R19)</f>
        <v>21329</v>
      </c>
      <c r="T19" s="41"/>
      <c r="U19" s="49">
        <f>M19+Q19</f>
        <v>13852</v>
      </c>
      <c r="V19" s="49">
        <f>N19+R19</f>
        <v>28806</v>
      </c>
      <c r="W19" s="49">
        <f>SUM(U19:V19)</f>
        <v>42658</v>
      </c>
    </row>
    <row r="20" spans="1:23" ht="43.5">
      <c r="A20" s="234" t="s">
        <v>7</v>
      </c>
      <c r="B20" s="51" t="s">
        <v>741</v>
      </c>
      <c r="C20" s="51" t="s">
        <v>742</v>
      </c>
      <c r="D20" s="56" t="s">
        <v>805</v>
      </c>
      <c r="E20" s="51"/>
      <c r="F20" s="51" t="s">
        <v>744</v>
      </c>
      <c r="G20" s="51" t="s">
        <v>742</v>
      </c>
      <c r="H20" s="640" t="s">
        <v>1233</v>
      </c>
      <c r="I20" s="42">
        <v>70830969</v>
      </c>
      <c r="J20" s="137" t="s">
        <v>149</v>
      </c>
      <c r="K20" s="58">
        <v>3.8</v>
      </c>
      <c r="L20" s="12">
        <f>77243-73439</f>
        <v>3804</v>
      </c>
      <c r="M20" s="41"/>
      <c r="N20" s="41"/>
      <c r="O20" s="49">
        <f>L20</f>
        <v>3804</v>
      </c>
      <c r="P20" s="12">
        <f>77243-73439</f>
        <v>3804</v>
      </c>
      <c r="Q20" s="41"/>
      <c r="R20" s="41"/>
      <c r="S20" s="49">
        <f>P20</f>
        <v>3804</v>
      </c>
      <c r="T20" s="12">
        <f>O20+S20</f>
        <v>7608</v>
      </c>
      <c r="U20" s="41"/>
      <c r="V20" s="41"/>
      <c r="W20" s="49">
        <f>T20</f>
        <v>7608</v>
      </c>
    </row>
    <row r="21" spans="1:23" ht="29.25">
      <c r="A21" s="234" t="s">
        <v>7</v>
      </c>
      <c r="B21" s="51" t="s">
        <v>741</v>
      </c>
      <c r="C21" s="51" t="s">
        <v>742</v>
      </c>
      <c r="D21" s="56" t="s">
        <v>776</v>
      </c>
      <c r="E21" s="51"/>
      <c r="F21" s="51" t="s">
        <v>744</v>
      </c>
      <c r="G21" s="51" t="s">
        <v>742</v>
      </c>
      <c r="H21" s="640" t="s">
        <v>1200</v>
      </c>
      <c r="I21" s="42">
        <v>70923612</v>
      </c>
      <c r="J21" s="137" t="s">
        <v>149</v>
      </c>
      <c r="K21" s="58">
        <v>12.5</v>
      </c>
      <c r="L21" s="12">
        <f>109580-98463</f>
        <v>11117</v>
      </c>
      <c r="M21" s="41"/>
      <c r="N21" s="41"/>
      <c r="O21" s="49">
        <f aca="true" t="shared" si="0" ref="O21:O84">L21</f>
        <v>11117</v>
      </c>
      <c r="P21" s="12">
        <f>109580-98463</f>
        <v>11117</v>
      </c>
      <c r="Q21" s="41"/>
      <c r="R21" s="41"/>
      <c r="S21" s="49">
        <f aca="true" t="shared" si="1" ref="S21:S84">P21</f>
        <v>11117</v>
      </c>
      <c r="T21" s="12">
        <f aca="true" t="shared" si="2" ref="T21:T84">O21+S21</f>
        <v>22234</v>
      </c>
      <c r="U21" s="41"/>
      <c r="V21" s="41"/>
      <c r="W21" s="49">
        <f aca="true" t="shared" si="3" ref="W21:W84">T21</f>
        <v>22234</v>
      </c>
    </row>
    <row r="22" spans="1:23" ht="43.5">
      <c r="A22" s="234" t="s">
        <v>7</v>
      </c>
      <c r="B22" s="51" t="s">
        <v>741</v>
      </c>
      <c r="C22" s="51" t="s">
        <v>742</v>
      </c>
      <c r="D22" s="56" t="s">
        <v>829</v>
      </c>
      <c r="E22" s="51"/>
      <c r="F22" s="51" t="s">
        <v>744</v>
      </c>
      <c r="G22" s="51" t="s">
        <v>742</v>
      </c>
      <c r="H22" s="640" t="s">
        <v>1268</v>
      </c>
      <c r="I22" s="42">
        <v>83143374</v>
      </c>
      <c r="J22" s="137" t="s">
        <v>149</v>
      </c>
      <c r="K22" s="58">
        <v>5.5</v>
      </c>
      <c r="L22" s="12">
        <f>30497-25958</f>
        <v>4539</v>
      </c>
      <c r="M22" s="41"/>
      <c r="N22" s="41"/>
      <c r="O22" s="49">
        <f t="shared" si="0"/>
        <v>4539</v>
      </c>
      <c r="P22" s="12">
        <f>30497-25958</f>
        <v>4539</v>
      </c>
      <c r="Q22" s="41"/>
      <c r="R22" s="41"/>
      <c r="S22" s="49">
        <f t="shared" si="1"/>
        <v>4539</v>
      </c>
      <c r="T22" s="12">
        <f t="shared" si="2"/>
        <v>9078</v>
      </c>
      <c r="U22" s="41"/>
      <c r="V22" s="41"/>
      <c r="W22" s="49">
        <f t="shared" si="3"/>
        <v>9078</v>
      </c>
    </row>
    <row r="23" spans="1:23" ht="29.25">
      <c r="A23" s="234" t="s">
        <v>7</v>
      </c>
      <c r="B23" s="51" t="s">
        <v>741</v>
      </c>
      <c r="C23" s="51" t="s">
        <v>742</v>
      </c>
      <c r="D23" s="56" t="s">
        <v>790</v>
      </c>
      <c r="E23" s="51"/>
      <c r="F23" s="51" t="s">
        <v>744</v>
      </c>
      <c r="G23" s="51" t="s">
        <v>742</v>
      </c>
      <c r="H23" s="640" t="s">
        <v>1214</v>
      </c>
      <c r="I23" s="42">
        <v>70925024</v>
      </c>
      <c r="J23" s="137" t="s">
        <v>149</v>
      </c>
      <c r="K23" s="58">
        <v>3.5</v>
      </c>
      <c r="L23" s="12">
        <f>85730-75624</f>
        <v>10106</v>
      </c>
      <c r="M23" s="41"/>
      <c r="N23" s="41"/>
      <c r="O23" s="49">
        <f t="shared" si="0"/>
        <v>10106</v>
      </c>
      <c r="P23" s="12">
        <f>85730-75624</f>
        <v>10106</v>
      </c>
      <c r="Q23" s="41"/>
      <c r="R23" s="41"/>
      <c r="S23" s="49">
        <f t="shared" si="1"/>
        <v>10106</v>
      </c>
      <c r="T23" s="12">
        <f t="shared" si="2"/>
        <v>20212</v>
      </c>
      <c r="U23" s="41"/>
      <c r="V23" s="41"/>
      <c r="W23" s="49">
        <f t="shared" si="3"/>
        <v>20212</v>
      </c>
    </row>
    <row r="24" spans="1:23" ht="29.25">
      <c r="A24" s="234" t="s">
        <v>7</v>
      </c>
      <c r="B24" s="51" t="s">
        <v>741</v>
      </c>
      <c r="C24" s="51" t="s">
        <v>742</v>
      </c>
      <c r="D24" s="56" t="s">
        <v>784</v>
      </c>
      <c r="E24" s="51"/>
      <c r="F24" s="51" t="s">
        <v>744</v>
      </c>
      <c r="G24" s="51" t="s">
        <v>742</v>
      </c>
      <c r="H24" s="640" t="s">
        <v>1208</v>
      </c>
      <c r="I24" s="42">
        <v>70544460</v>
      </c>
      <c r="J24" s="137" t="s">
        <v>149</v>
      </c>
      <c r="K24" s="58">
        <v>4.7</v>
      </c>
      <c r="L24" s="12">
        <f>107397-95642</f>
        <v>11755</v>
      </c>
      <c r="M24" s="41"/>
      <c r="N24" s="41"/>
      <c r="O24" s="49">
        <f t="shared" si="0"/>
        <v>11755</v>
      </c>
      <c r="P24" s="12">
        <f>107397-95642</f>
        <v>11755</v>
      </c>
      <c r="Q24" s="41"/>
      <c r="R24" s="41"/>
      <c r="S24" s="49">
        <f t="shared" si="1"/>
        <v>11755</v>
      </c>
      <c r="T24" s="12">
        <f t="shared" si="2"/>
        <v>23510</v>
      </c>
      <c r="U24" s="41"/>
      <c r="V24" s="41"/>
      <c r="W24" s="49">
        <f t="shared" si="3"/>
        <v>23510</v>
      </c>
    </row>
    <row r="25" spans="1:23" ht="29.25">
      <c r="A25" s="234" t="s">
        <v>7</v>
      </c>
      <c r="B25" s="51" t="s">
        <v>741</v>
      </c>
      <c r="C25" s="51" t="s">
        <v>742</v>
      </c>
      <c r="D25" s="56" t="s">
        <v>812</v>
      </c>
      <c r="E25" s="51"/>
      <c r="F25" s="51" t="s">
        <v>744</v>
      </c>
      <c r="G25" s="51" t="s">
        <v>742</v>
      </c>
      <c r="H25" s="640" t="s">
        <v>1246</v>
      </c>
      <c r="I25" s="42">
        <v>90107720</v>
      </c>
      <c r="J25" s="137" t="s">
        <v>149</v>
      </c>
      <c r="K25" s="58">
        <v>4.8</v>
      </c>
      <c r="L25" s="12">
        <f>16710-9736</f>
        <v>6974</v>
      </c>
      <c r="M25" s="41"/>
      <c r="N25" s="41"/>
      <c r="O25" s="49">
        <f t="shared" si="0"/>
        <v>6974</v>
      </c>
      <c r="P25" s="12">
        <f>16710-9736</f>
        <v>6974</v>
      </c>
      <c r="Q25" s="41"/>
      <c r="R25" s="41"/>
      <c r="S25" s="49">
        <f t="shared" si="1"/>
        <v>6974</v>
      </c>
      <c r="T25" s="12">
        <f t="shared" si="2"/>
        <v>13948</v>
      </c>
      <c r="U25" s="41"/>
      <c r="V25" s="41"/>
      <c r="W25" s="49">
        <f t="shared" si="3"/>
        <v>13948</v>
      </c>
    </row>
    <row r="26" spans="1:23" ht="29.25">
      <c r="A26" s="234" t="s">
        <v>7</v>
      </c>
      <c r="B26" s="51" t="s">
        <v>741</v>
      </c>
      <c r="C26" s="51" t="s">
        <v>742</v>
      </c>
      <c r="D26" s="56" t="s">
        <v>809</v>
      </c>
      <c r="E26" s="51"/>
      <c r="F26" s="51" t="s">
        <v>744</v>
      </c>
      <c r="G26" s="51" t="s">
        <v>742</v>
      </c>
      <c r="H26" s="640" t="s">
        <v>1243</v>
      </c>
      <c r="I26" s="42">
        <v>71010334</v>
      </c>
      <c r="J26" s="137" t="s">
        <v>149</v>
      </c>
      <c r="K26" s="58">
        <v>6.5</v>
      </c>
      <c r="L26" s="12">
        <f>166278-148593</f>
        <v>17685</v>
      </c>
      <c r="M26" s="41"/>
      <c r="N26" s="41"/>
      <c r="O26" s="49">
        <f t="shared" si="0"/>
        <v>17685</v>
      </c>
      <c r="P26" s="12">
        <f>166278-148593</f>
        <v>17685</v>
      </c>
      <c r="Q26" s="41"/>
      <c r="R26" s="41"/>
      <c r="S26" s="49">
        <f t="shared" si="1"/>
        <v>17685</v>
      </c>
      <c r="T26" s="12">
        <f t="shared" si="2"/>
        <v>35370</v>
      </c>
      <c r="U26" s="41"/>
      <c r="V26" s="41"/>
      <c r="W26" s="49">
        <f t="shared" si="3"/>
        <v>35370</v>
      </c>
    </row>
    <row r="27" spans="1:23" ht="29.25">
      <c r="A27" s="234" t="s">
        <v>7</v>
      </c>
      <c r="B27" s="51" t="s">
        <v>741</v>
      </c>
      <c r="C27" s="51" t="s">
        <v>742</v>
      </c>
      <c r="D27" s="56" t="s">
        <v>750</v>
      </c>
      <c r="E27" s="51"/>
      <c r="F27" s="51" t="s">
        <v>744</v>
      </c>
      <c r="G27" s="51" t="s">
        <v>742</v>
      </c>
      <c r="H27" s="640" t="s">
        <v>1170</v>
      </c>
      <c r="I27" s="42">
        <v>70507405</v>
      </c>
      <c r="J27" s="137" t="s">
        <v>149</v>
      </c>
      <c r="K27" s="58">
        <v>5.5</v>
      </c>
      <c r="L27" s="181">
        <f>96110-84284</f>
        <v>11826</v>
      </c>
      <c r="M27" s="41"/>
      <c r="N27" s="41"/>
      <c r="O27" s="49">
        <f t="shared" si="0"/>
        <v>11826</v>
      </c>
      <c r="P27" s="181">
        <f>96110-84284</f>
        <v>11826</v>
      </c>
      <c r="Q27" s="41"/>
      <c r="R27" s="41"/>
      <c r="S27" s="49">
        <f t="shared" si="1"/>
        <v>11826</v>
      </c>
      <c r="T27" s="12">
        <f t="shared" si="2"/>
        <v>23652</v>
      </c>
      <c r="U27" s="41"/>
      <c r="V27" s="41"/>
      <c r="W27" s="49">
        <f t="shared" si="3"/>
        <v>23652</v>
      </c>
    </row>
    <row r="28" spans="1:23" ht="29.25">
      <c r="A28" s="234" t="s">
        <v>7</v>
      </c>
      <c r="B28" s="51" t="s">
        <v>741</v>
      </c>
      <c r="C28" s="51" t="s">
        <v>742</v>
      </c>
      <c r="D28" s="56" t="s">
        <v>788</v>
      </c>
      <c r="E28" s="51"/>
      <c r="F28" s="51" t="s">
        <v>744</v>
      </c>
      <c r="G28" s="51" t="s">
        <v>742</v>
      </c>
      <c r="H28" s="640" t="s">
        <v>1212</v>
      </c>
      <c r="I28" s="42" t="s">
        <v>2107</v>
      </c>
      <c r="J28" s="137" t="s">
        <v>149</v>
      </c>
      <c r="K28" s="58">
        <v>7</v>
      </c>
      <c r="L28" s="51">
        <f>9713-7</f>
        <v>9706</v>
      </c>
      <c r="M28" s="41"/>
      <c r="N28" s="41"/>
      <c r="O28" s="49">
        <f t="shared" si="0"/>
        <v>9706</v>
      </c>
      <c r="P28" s="51">
        <f>9713-7</f>
        <v>9706</v>
      </c>
      <c r="Q28" s="41"/>
      <c r="R28" s="41"/>
      <c r="S28" s="49">
        <f t="shared" si="1"/>
        <v>9706</v>
      </c>
      <c r="T28" s="12">
        <f t="shared" si="2"/>
        <v>19412</v>
      </c>
      <c r="U28" s="41"/>
      <c r="V28" s="41"/>
      <c r="W28" s="49">
        <f t="shared" si="3"/>
        <v>19412</v>
      </c>
    </row>
    <row r="29" spans="1:23" ht="29.25">
      <c r="A29" s="234" t="s">
        <v>7</v>
      </c>
      <c r="B29" s="51" t="s">
        <v>741</v>
      </c>
      <c r="C29" s="51" t="s">
        <v>742</v>
      </c>
      <c r="D29" s="56" t="s">
        <v>768</v>
      </c>
      <c r="E29" s="51"/>
      <c r="F29" s="51" t="s">
        <v>744</v>
      </c>
      <c r="G29" s="51" t="s">
        <v>742</v>
      </c>
      <c r="H29" s="640" t="s">
        <v>1192</v>
      </c>
      <c r="I29" s="42">
        <v>70544597</v>
      </c>
      <c r="J29" s="137" t="s">
        <v>149</v>
      </c>
      <c r="K29" s="58">
        <v>10</v>
      </c>
      <c r="L29" s="12">
        <f>216066-188580</f>
        <v>27486</v>
      </c>
      <c r="M29" s="41"/>
      <c r="N29" s="41"/>
      <c r="O29" s="49">
        <f t="shared" si="0"/>
        <v>27486</v>
      </c>
      <c r="P29" s="12">
        <f>216066-188580</f>
        <v>27486</v>
      </c>
      <c r="Q29" s="41"/>
      <c r="R29" s="41"/>
      <c r="S29" s="49">
        <f t="shared" si="1"/>
        <v>27486</v>
      </c>
      <c r="T29" s="12">
        <f t="shared" si="2"/>
        <v>54972</v>
      </c>
      <c r="U29" s="41"/>
      <c r="V29" s="41"/>
      <c r="W29" s="49">
        <f t="shared" si="3"/>
        <v>54972</v>
      </c>
    </row>
    <row r="30" spans="1:23" ht="43.5">
      <c r="A30" s="234" t="s">
        <v>7</v>
      </c>
      <c r="B30" s="51" t="s">
        <v>741</v>
      </c>
      <c r="C30" s="51" t="s">
        <v>742</v>
      </c>
      <c r="D30" s="56" t="s">
        <v>748</v>
      </c>
      <c r="E30" s="51"/>
      <c r="F30" s="51" t="s">
        <v>744</v>
      </c>
      <c r="G30" s="51" t="s">
        <v>742</v>
      </c>
      <c r="H30" s="640" t="s">
        <v>1168</v>
      </c>
      <c r="I30" s="42">
        <v>8565535</v>
      </c>
      <c r="J30" s="137" t="s">
        <v>149</v>
      </c>
      <c r="K30" s="58">
        <v>3</v>
      </c>
      <c r="L30" s="12">
        <f>129050-118381</f>
        <v>10669</v>
      </c>
      <c r="M30" s="41"/>
      <c r="N30" s="41"/>
      <c r="O30" s="49">
        <f t="shared" si="0"/>
        <v>10669</v>
      </c>
      <c r="P30" s="12">
        <f>129050-118381</f>
        <v>10669</v>
      </c>
      <c r="Q30" s="41"/>
      <c r="R30" s="41"/>
      <c r="S30" s="49">
        <f t="shared" si="1"/>
        <v>10669</v>
      </c>
      <c r="T30" s="12">
        <f t="shared" si="2"/>
        <v>21338</v>
      </c>
      <c r="U30" s="41"/>
      <c r="V30" s="41"/>
      <c r="W30" s="49">
        <f t="shared" si="3"/>
        <v>21338</v>
      </c>
    </row>
    <row r="31" spans="1:23" ht="29.25">
      <c r="A31" s="234" t="s">
        <v>7</v>
      </c>
      <c r="B31" s="51" t="s">
        <v>741</v>
      </c>
      <c r="C31" s="51" t="s">
        <v>742</v>
      </c>
      <c r="D31" s="56" t="s">
        <v>786</v>
      </c>
      <c r="E31" s="51"/>
      <c r="F31" s="51" t="s">
        <v>744</v>
      </c>
      <c r="G31" s="51" t="s">
        <v>742</v>
      </c>
      <c r="H31" s="640" t="s">
        <v>1210</v>
      </c>
      <c r="I31" s="42">
        <v>94962959</v>
      </c>
      <c r="J31" s="137" t="s">
        <v>149</v>
      </c>
      <c r="K31" s="58">
        <v>8</v>
      </c>
      <c r="L31" s="12">
        <f>105917-98074</f>
        <v>7843</v>
      </c>
      <c r="M31" s="41"/>
      <c r="N31" s="41"/>
      <c r="O31" s="49">
        <f t="shared" si="0"/>
        <v>7843</v>
      </c>
      <c r="P31" s="12">
        <f>105917-98074</f>
        <v>7843</v>
      </c>
      <c r="Q31" s="41"/>
      <c r="R31" s="41"/>
      <c r="S31" s="49">
        <f t="shared" si="1"/>
        <v>7843</v>
      </c>
      <c r="T31" s="12">
        <f t="shared" si="2"/>
        <v>15686</v>
      </c>
      <c r="U31" s="41"/>
      <c r="V31" s="41"/>
      <c r="W31" s="49">
        <f t="shared" si="3"/>
        <v>15686</v>
      </c>
    </row>
    <row r="32" spans="1:23" ht="29.25">
      <c r="A32" s="234" t="s">
        <v>7</v>
      </c>
      <c r="B32" s="51" t="s">
        <v>741</v>
      </c>
      <c r="C32" s="51" t="s">
        <v>742</v>
      </c>
      <c r="D32" s="56" t="s">
        <v>789</v>
      </c>
      <c r="E32" s="51"/>
      <c r="F32" s="51" t="s">
        <v>744</v>
      </c>
      <c r="G32" s="51" t="s">
        <v>742</v>
      </c>
      <c r="H32" s="640" t="s">
        <v>1213</v>
      </c>
      <c r="I32" s="42">
        <v>70830757</v>
      </c>
      <c r="J32" s="137" t="s">
        <v>149</v>
      </c>
      <c r="K32" s="58">
        <v>14</v>
      </c>
      <c r="L32" s="12">
        <f>86104-75117</f>
        <v>10987</v>
      </c>
      <c r="M32" s="41"/>
      <c r="N32" s="41"/>
      <c r="O32" s="49">
        <f t="shared" si="0"/>
        <v>10987</v>
      </c>
      <c r="P32" s="12">
        <f>86104-75117</f>
        <v>10987</v>
      </c>
      <c r="Q32" s="41"/>
      <c r="R32" s="41"/>
      <c r="S32" s="49">
        <f t="shared" si="1"/>
        <v>10987</v>
      </c>
      <c r="T32" s="12">
        <f t="shared" si="2"/>
        <v>21974</v>
      </c>
      <c r="U32" s="41"/>
      <c r="V32" s="41"/>
      <c r="W32" s="49">
        <f t="shared" si="3"/>
        <v>21974</v>
      </c>
    </row>
    <row r="33" spans="1:23" ht="43.5">
      <c r="A33" s="234" t="s">
        <v>7</v>
      </c>
      <c r="B33" s="51" t="s">
        <v>741</v>
      </c>
      <c r="C33" s="51" t="s">
        <v>742</v>
      </c>
      <c r="D33" s="56" t="s">
        <v>1766</v>
      </c>
      <c r="E33" s="51" t="s">
        <v>1765</v>
      </c>
      <c r="F33" s="51" t="s">
        <v>744</v>
      </c>
      <c r="G33" s="51" t="s">
        <v>742</v>
      </c>
      <c r="H33" s="640" t="s">
        <v>1173</v>
      </c>
      <c r="I33" s="42">
        <v>90084186</v>
      </c>
      <c r="J33" s="137" t="s">
        <v>149</v>
      </c>
      <c r="K33" s="58">
        <v>6</v>
      </c>
      <c r="L33" s="12">
        <f>78796-63248</f>
        <v>15548</v>
      </c>
      <c r="M33" s="41"/>
      <c r="N33" s="41"/>
      <c r="O33" s="49">
        <f t="shared" si="0"/>
        <v>15548</v>
      </c>
      <c r="P33" s="12">
        <f>78796-63248</f>
        <v>15548</v>
      </c>
      <c r="Q33" s="41"/>
      <c r="R33" s="41"/>
      <c r="S33" s="49">
        <f t="shared" si="1"/>
        <v>15548</v>
      </c>
      <c r="T33" s="12">
        <f t="shared" si="2"/>
        <v>31096</v>
      </c>
      <c r="U33" s="41"/>
      <c r="V33" s="41"/>
      <c r="W33" s="49">
        <f t="shared" si="3"/>
        <v>31096</v>
      </c>
    </row>
    <row r="34" spans="1:23" ht="43.5">
      <c r="A34" s="234" t="s">
        <v>7</v>
      </c>
      <c r="B34" s="51" t="s">
        <v>741</v>
      </c>
      <c r="C34" s="51" t="s">
        <v>742</v>
      </c>
      <c r="D34" s="56" t="s">
        <v>762</v>
      </c>
      <c r="E34" s="51"/>
      <c r="F34" s="51" t="s">
        <v>744</v>
      </c>
      <c r="G34" s="51" t="s">
        <v>742</v>
      </c>
      <c r="H34" s="640" t="s">
        <v>1186</v>
      </c>
      <c r="I34" s="42">
        <v>90207410</v>
      </c>
      <c r="J34" s="137" t="s">
        <v>149</v>
      </c>
      <c r="K34" s="58">
        <v>7.5</v>
      </c>
      <c r="L34" s="12">
        <f>71368-56309</f>
        <v>15059</v>
      </c>
      <c r="M34" s="41"/>
      <c r="N34" s="41"/>
      <c r="O34" s="49">
        <f t="shared" si="0"/>
        <v>15059</v>
      </c>
      <c r="P34" s="12">
        <f>71368-56309</f>
        <v>15059</v>
      </c>
      <c r="Q34" s="41"/>
      <c r="R34" s="41"/>
      <c r="S34" s="49">
        <f t="shared" si="1"/>
        <v>15059</v>
      </c>
      <c r="T34" s="12">
        <f t="shared" si="2"/>
        <v>30118</v>
      </c>
      <c r="U34" s="41"/>
      <c r="V34" s="41"/>
      <c r="W34" s="49">
        <f t="shared" si="3"/>
        <v>30118</v>
      </c>
    </row>
    <row r="35" spans="1:23" ht="29.25">
      <c r="A35" s="234" t="s">
        <v>7</v>
      </c>
      <c r="B35" s="51" t="s">
        <v>741</v>
      </c>
      <c r="C35" s="51" t="s">
        <v>742</v>
      </c>
      <c r="D35" s="56" t="s">
        <v>792</v>
      </c>
      <c r="E35" s="51"/>
      <c r="F35" s="51" t="s">
        <v>744</v>
      </c>
      <c r="G35" s="51" t="s">
        <v>742</v>
      </c>
      <c r="H35" s="640" t="s">
        <v>1216</v>
      </c>
      <c r="I35" s="42">
        <v>90028781</v>
      </c>
      <c r="J35" s="137" t="s">
        <v>149</v>
      </c>
      <c r="K35" s="58">
        <v>16</v>
      </c>
      <c r="L35" s="12">
        <f>13918-11385</f>
        <v>2533</v>
      </c>
      <c r="M35" s="41"/>
      <c r="N35" s="41"/>
      <c r="O35" s="49">
        <f t="shared" si="0"/>
        <v>2533</v>
      </c>
      <c r="P35" s="12">
        <f>13918-11385</f>
        <v>2533</v>
      </c>
      <c r="Q35" s="41"/>
      <c r="R35" s="41"/>
      <c r="S35" s="49">
        <f t="shared" si="1"/>
        <v>2533</v>
      </c>
      <c r="T35" s="12">
        <f t="shared" si="2"/>
        <v>5066</v>
      </c>
      <c r="U35" s="41"/>
      <c r="V35" s="41"/>
      <c r="W35" s="49">
        <f t="shared" si="3"/>
        <v>5066</v>
      </c>
    </row>
    <row r="36" spans="1:23" ht="29.25">
      <c r="A36" s="234" t="s">
        <v>7</v>
      </c>
      <c r="B36" s="51" t="s">
        <v>741</v>
      </c>
      <c r="C36" s="51" t="s">
        <v>742</v>
      </c>
      <c r="D36" s="56" t="s">
        <v>769</v>
      </c>
      <c r="E36" s="51"/>
      <c r="F36" s="51" t="s">
        <v>744</v>
      </c>
      <c r="G36" s="51" t="s">
        <v>742</v>
      </c>
      <c r="H36" s="640" t="s">
        <v>1193</v>
      </c>
      <c r="I36" s="42">
        <v>70693943</v>
      </c>
      <c r="J36" s="137" t="s">
        <v>149</v>
      </c>
      <c r="K36" s="58">
        <v>10</v>
      </c>
      <c r="L36" s="12">
        <f>158250-145569</f>
        <v>12681</v>
      </c>
      <c r="M36" s="41"/>
      <c r="N36" s="41"/>
      <c r="O36" s="49">
        <f t="shared" si="0"/>
        <v>12681</v>
      </c>
      <c r="P36" s="12">
        <f>158250-145569</f>
        <v>12681</v>
      </c>
      <c r="Q36" s="41"/>
      <c r="R36" s="41"/>
      <c r="S36" s="49">
        <f t="shared" si="1"/>
        <v>12681</v>
      </c>
      <c r="T36" s="12">
        <f t="shared" si="2"/>
        <v>25362</v>
      </c>
      <c r="U36" s="41"/>
      <c r="V36" s="41"/>
      <c r="W36" s="49">
        <f t="shared" si="3"/>
        <v>25362</v>
      </c>
    </row>
    <row r="37" spans="1:23" ht="29.25">
      <c r="A37" s="234" t="s">
        <v>7</v>
      </c>
      <c r="B37" s="51" t="s">
        <v>741</v>
      </c>
      <c r="C37" s="51" t="s">
        <v>742</v>
      </c>
      <c r="D37" s="56" t="s">
        <v>757</v>
      </c>
      <c r="E37" s="51"/>
      <c r="F37" s="51" t="s">
        <v>744</v>
      </c>
      <c r="G37" s="51" t="s">
        <v>742</v>
      </c>
      <c r="H37" s="640" t="s">
        <v>1181</v>
      </c>
      <c r="I37" s="42">
        <v>70544319</v>
      </c>
      <c r="J37" s="137" t="s">
        <v>149</v>
      </c>
      <c r="K37" s="58">
        <v>4.5</v>
      </c>
      <c r="L37" s="12">
        <f>168760-161676</f>
        <v>7084</v>
      </c>
      <c r="M37" s="41"/>
      <c r="N37" s="41"/>
      <c r="O37" s="49">
        <f t="shared" si="0"/>
        <v>7084</v>
      </c>
      <c r="P37" s="12">
        <f>168760-161676</f>
        <v>7084</v>
      </c>
      <c r="Q37" s="41"/>
      <c r="R37" s="41"/>
      <c r="S37" s="49">
        <f t="shared" si="1"/>
        <v>7084</v>
      </c>
      <c r="T37" s="12">
        <f t="shared" si="2"/>
        <v>14168</v>
      </c>
      <c r="U37" s="41"/>
      <c r="V37" s="41"/>
      <c r="W37" s="49">
        <f t="shared" si="3"/>
        <v>14168</v>
      </c>
    </row>
    <row r="38" spans="1:23" ht="29.25">
      <c r="A38" s="234" t="s">
        <v>7</v>
      </c>
      <c r="B38" s="51" t="s">
        <v>741</v>
      </c>
      <c r="C38" s="51" t="s">
        <v>742</v>
      </c>
      <c r="D38" s="56" t="s">
        <v>804</v>
      </c>
      <c r="E38" s="51"/>
      <c r="F38" s="51" t="s">
        <v>744</v>
      </c>
      <c r="G38" s="51" t="s">
        <v>742</v>
      </c>
      <c r="H38" s="640" t="s">
        <v>1232</v>
      </c>
      <c r="I38" s="42">
        <v>90066091</v>
      </c>
      <c r="J38" s="137" t="s">
        <v>149</v>
      </c>
      <c r="K38" s="58">
        <v>2.5</v>
      </c>
      <c r="L38" s="12">
        <f>13619-10957</f>
        <v>2662</v>
      </c>
      <c r="M38" s="41"/>
      <c r="N38" s="41"/>
      <c r="O38" s="49">
        <f t="shared" si="0"/>
        <v>2662</v>
      </c>
      <c r="P38" s="12">
        <f>13619-10957</f>
        <v>2662</v>
      </c>
      <c r="Q38" s="41"/>
      <c r="R38" s="41"/>
      <c r="S38" s="49">
        <f t="shared" si="1"/>
        <v>2662</v>
      </c>
      <c r="T38" s="12">
        <f t="shared" si="2"/>
        <v>5324</v>
      </c>
      <c r="U38" s="41"/>
      <c r="V38" s="41"/>
      <c r="W38" s="49">
        <f t="shared" si="3"/>
        <v>5324</v>
      </c>
    </row>
    <row r="39" spans="1:23" ht="29.25">
      <c r="A39" s="234" t="s">
        <v>7</v>
      </c>
      <c r="B39" s="51" t="s">
        <v>741</v>
      </c>
      <c r="C39" s="51" t="s">
        <v>742</v>
      </c>
      <c r="D39" s="56" t="s">
        <v>772</v>
      </c>
      <c r="E39" s="51"/>
      <c r="F39" s="51" t="s">
        <v>744</v>
      </c>
      <c r="G39" s="51" t="s">
        <v>742</v>
      </c>
      <c r="H39" s="640" t="s">
        <v>1196</v>
      </c>
      <c r="I39" s="42">
        <v>9037386</v>
      </c>
      <c r="J39" s="137" t="s">
        <v>149</v>
      </c>
      <c r="K39" s="58">
        <v>37</v>
      </c>
      <c r="L39" s="12">
        <f>607329-565563</f>
        <v>41766</v>
      </c>
      <c r="M39" s="41"/>
      <c r="N39" s="41"/>
      <c r="O39" s="49">
        <f t="shared" si="0"/>
        <v>41766</v>
      </c>
      <c r="P39" s="12">
        <f>607329-565563</f>
        <v>41766</v>
      </c>
      <c r="Q39" s="41"/>
      <c r="R39" s="41"/>
      <c r="S39" s="49">
        <f t="shared" si="1"/>
        <v>41766</v>
      </c>
      <c r="T39" s="12">
        <f t="shared" si="2"/>
        <v>83532</v>
      </c>
      <c r="U39" s="41"/>
      <c r="V39" s="41"/>
      <c r="W39" s="49">
        <f t="shared" si="3"/>
        <v>83532</v>
      </c>
    </row>
    <row r="40" spans="1:23" ht="18">
      <c r="A40" s="234" t="s">
        <v>7</v>
      </c>
      <c r="B40" s="51" t="s">
        <v>741</v>
      </c>
      <c r="C40" s="51" t="s">
        <v>742</v>
      </c>
      <c r="D40" s="56" t="s">
        <v>746</v>
      </c>
      <c r="E40" s="51"/>
      <c r="F40" s="51" t="s">
        <v>744</v>
      </c>
      <c r="G40" s="51" t="s">
        <v>742</v>
      </c>
      <c r="H40" s="640" t="s">
        <v>1166</v>
      </c>
      <c r="I40" s="42">
        <v>11202312</v>
      </c>
      <c r="J40" s="137" t="s">
        <v>149</v>
      </c>
      <c r="K40" s="58">
        <v>4.3</v>
      </c>
      <c r="L40" s="12">
        <f>348261-320441</f>
        <v>27820</v>
      </c>
      <c r="M40" s="41"/>
      <c r="N40" s="41"/>
      <c r="O40" s="49">
        <f t="shared" si="0"/>
        <v>27820</v>
      </c>
      <c r="P40" s="12">
        <f>348261-320441</f>
        <v>27820</v>
      </c>
      <c r="Q40" s="41"/>
      <c r="R40" s="41"/>
      <c r="S40" s="49">
        <f t="shared" si="1"/>
        <v>27820</v>
      </c>
      <c r="T40" s="12">
        <f t="shared" si="2"/>
        <v>55640</v>
      </c>
      <c r="U40" s="41"/>
      <c r="V40" s="41"/>
      <c r="W40" s="49">
        <f t="shared" si="3"/>
        <v>55640</v>
      </c>
    </row>
    <row r="41" spans="1:23" ht="29.25">
      <c r="A41" s="234" t="s">
        <v>7</v>
      </c>
      <c r="B41" s="51" t="s">
        <v>741</v>
      </c>
      <c r="C41" s="51" t="s">
        <v>742</v>
      </c>
      <c r="D41" s="56" t="s">
        <v>758</v>
      </c>
      <c r="E41" s="51"/>
      <c r="F41" s="51" t="s">
        <v>744</v>
      </c>
      <c r="G41" s="51" t="s">
        <v>742</v>
      </c>
      <c r="H41" s="640" t="s">
        <v>1182</v>
      </c>
      <c r="I41" s="42">
        <v>90104527</v>
      </c>
      <c r="J41" s="137" t="s">
        <v>149</v>
      </c>
      <c r="K41" s="58">
        <v>8.5</v>
      </c>
      <c r="L41" s="12">
        <f>29622-29622</f>
        <v>0</v>
      </c>
      <c r="M41" s="41"/>
      <c r="N41" s="41"/>
      <c r="O41" s="49">
        <f t="shared" si="0"/>
        <v>0</v>
      </c>
      <c r="P41" s="12">
        <f>29622-29622</f>
        <v>0</v>
      </c>
      <c r="Q41" s="41"/>
      <c r="R41" s="41"/>
      <c r="S41" s="49">
        <f t="shared" si="1"/>
        <v>0</v>
      </c>
      <c r="T41" s="12">
        <f t="shared" si="2"/>
        <v>0</v>
      </c>
      <c r="U41" s="41"/>
      <c r="V41" s="41"/>
      <c r="W41" s="49">
        <f t="shared" si="3"/>
        <v>0</v>
      </c>
    </row>
    <row r="42" spans="1:23" ht="29.25">
      <c r="A42" s="234" t="s">
        <v>7</v>
      </c>
      <c r="B42" s="51" t="s">
        <v>741</v>
      </c>
      <c r="C42" s="51" t="s">
        <v>742</v>
      </c>
      <c r="D42" s="56" t="s">
        <v>770</v>
      </c>
      <c r="E42" s="51"/>
      <c r="F42" s="51" t="s">
        <v>744</v>
      </c>
      <c r="G42" s="51" t="s">
        <v>742</v>
      </c>
      <c r="H42" s="640" t="s">
        <v>1194</v>
      </c>
      <c r="I42" s="42">
        <v>8301247</v>
      </c>
      <c r="J42" s="137" t="s">
        <v>149</v>
      </c>
      <c r="K42" s="58">
        <v>6</v>
      </c>
      <c r="L42" s="12">
        <f>163392-152854</f>
        <v>10538</v>
      </c>
      <c r="M42" s="41"/>
      <c r="N42" s="41"/>
      <c r="O42" s="49">
        <f t="shared" si="0"/>
        <v>10538</v>
      </c>
      <c r="P42" s="12">
        <f>163392-152854</f>
        <v>10538</v>
      </c>
      <c r="Q42" s="41"/>
      <c r="R42" s="41"/>
      <c r="S42" s="49">
        <f t="shared" si="1"/>
        <v>10538</v>
      </c>
      <c r="T42" s="12">
        <f t="shared" si="2"/>
        <v>21076</v>
      </c>
      <c r="U42" s="41"/>
      <c r="V42" s="41"/>
      <c r="W42" s="49">
        <f t="shared" si="3"/>
        <v>21076</v>
      </c>
    </row>
    <row r="43" spans="1:23" ht="29.25">
      <c r="A43" s="234" t="s">
        <v>7</v>
      </c>
      <c r="B43" s="51" t="s">
        <v>741</v>
      </c>
      <c r="C43" s="51" t="s">
        <v>742</v>
      </c>
      <c r="D43" s="56" t="s">
        <v>766</v>
      </c>
      <c r="E43" s="51"/>
      <c r="F43" s="51" t="s">
        <v>744</v>
      </c>
      <c r="G43" s="51" t="s">
        <v>742</v>
      </c>
      <c r="H43" s="640" t="s">
        <v>1190</v>
      </c>
      <c r="I43" s="42">
        <v>70748130</v>
      </c>
      <c r="J43" s="137" t="s">
        <v>149</v>
      </c>
      <c r="K43" s="58">
        <v>3</v>
      </c>
      <c r="L43" s="12">
        <f>166698-150244</f>
        <v>16454</v>
      </c>
      <c r="M43" s="41"/>
      <c r="N43" s="41"/>
      <c r="O43" s="49">
        <f t="shared" si="0"/>
        <v>16454</v>
      </c>
      <c r="P43" s="12">
        <f>166698-150244</f>
        <v>16454</v>
      </c>
      <c r="Q43" s="41"/>
      <c r="R43" s="41"/>
      <c r="S43" s="49">
        <f t="shared" si="1"/>
        <v>16454</v>
      </c>
      <c r="T43" s="12">
        <f t="shared" si="2"/>
        <v>32908</v>
      </c>
      <c r="U43" s="41"/>
      <c r="V43" s="41"/>
      <c r="W43" s="49">
        <f t="shared" si="3"/>
        <v>32908</v>
      </c>
    </row>
    <row r="44" spans="1:23" ht="29.25">
      <c r="A44" s="234" t="s">
        <v>7</v>
      </c>
      <c r="B44" s="51" t="s">
        <v>741</v>
      </c>
      <c r="C44" s="51" t="s">
        <v>742</v>
      </c>
      <c r="D44" s="56" t="s">
        <v>800</v>
      </c>
      <c r="E44" s="51"/>
      <c r="F44" s="51" t="s">
        <v>744</v>
      </c>
      <c r="G44" s="51" t="s">
        <v>742</v>
      </c>
      <c r="H44" s="640" t="s">
        <v>1228</v>
      </c>
      <c r="I44" s="42">
        <v>71018345</v>
      </c>
      <c r="J44" s="137" t="s">
        <v>149</v>
      </c>
      <c r="K44" s="58">
        <v>4.5</v>
      </c>
      <c r="L44" s="12">
        <f>73961-63793</f>
        <v>10168</v>
      </c>
      <c r="M44" s="41"/>
      <c r="N44" s="41"/>
      <c r="O44" s="49">
        <f t="shared" si="0"/>
        <v>10168</v>
      </c>
      <c r="P44" s="12">
        <f>73961-63793</f>
        <v>10168</v>
      </c>
      <c r="Q44" s="41"/>
      <c r="R44" s="41"/>
      <c r="S44" s="49">
        <f t="shared" si="1"/>
        <v>10168</v>
      </c>
      <c r="T44" s="12">
        <f t="shared" si="2"/>
        <v>20336</v>
      </c>
      <c r="U44" s="41"/>
      <c r="V44" s="41"/>
      <c r="W44" s="49">
        <f t="shared" si="3"/>
        <v>20336</v>
      </c>
    </row>
    <row r="45" spans="1:23" ht="29.25">
      <c r="A45" s="234" t="s">
        <v>7</v>
      </c>
      <c r="B45" s="51" t="s">
        <v>741</v>
      </c>
      <c r="C45" s="51" t="s">
        <v>742</v>
      </c>
      <c r="D45" s="56" t="s">
        <v>763</v>
      </c>
      <c r="E45" s="51"/>
      <c r="F45" s="51" t="s">
        <v>744</v>
      </c>
      <c r="G45" s="51" t="s">
        <v>742</v>
      </c>
      <c r="H45" s="640" t="s">
        <v>1187</v>
      </c>
      <c r="I45" s="42">
        <v>90103769</v>
      </c>
      <c r="J45" s="137" t="s">
        <v>149</v>
      </c>
      <c r="K45" s="58">
        <v>22</v>
      </c>
      <c r="L45" s="12">
        <f>140961-110940</f>
        <v>30021</v>
      </c>
      <c r="M45" s="41"/>
      <c r="N45" s="41"/>
      <c r="O45" s="49">
        <f t="shared" si="0"/>
        <v>30021</v>
      </c>
      <c r="P45" s="12">
        <f>140961-110940</f>
        <v>30021</v>
      </c>
      <c r="Q45" s="41"/>
      <c r="R45" s="41"/>
      <c r="S45" s="49">
        <f t="shared" si="1"/>
        <v>30021</v>
      </c>
      <c r="T45" s="12">
        <f t="shared" si="2"/>
        <v>60042</v>
      </c>
      <c r="U45" s="41"/>
      <c r="V45" s="41"/>
      <c r="W45" s="49">
        <f t="shared" si="3"/>
        <v>60042</v>
      </c>
    </row>
    <row r="46" spans="1:23" ht="29.25">
      <c r="A46" s="234" t="s">
        <v>7</v>
      </c>
      <c r="B46" s="51" t="s">
        <v>741</v>
      </c>
      <c r="C46" s="51" t="s">
        <v>742</v>
      </c>
      <c r="D46" s="56" t="s">
        <v>787</v>
      </c>
      <c r="E46" s="51"/>
      <c r="F46" s="51" t="s">
        <v>744</v>
      </c>
      <c r="G46" s="51" t="s">
        <v>742</v>
      </c>
      <c r="H46" s="640" t="s">
        <v>1211</v>
      </c>
      <c r="I46" s="42">
        <v>8317921</v>
      </c>
      <c r="J46" s="137" t="s">
        <v>149</v>
      </c>
      <c r="K46" s="58">
        <v>7</v>
      </c>
      <c r="L46" s="12">
        <f>81745-74984</f>
        <v>6761</v>
      </c>
      <c r="M46" s="41"/>
      <c r="N46" s="41"/>
      <c r="O46" s="49">
        <f t="shared" si="0"/>
        <v>6761</v>
      </c>
      <c r="P46" s="12">
        <f>81745-74984</f>
        <v>6761</v>
      </c>
      <c r="Q46" s="41"/>
      <c r="R46" s="41"/>
      <c r="S46" s="49">
        <f t="shared" si="1"/>
        <v>6761</v>
      </c>
      <c r="T46" s="12">
        <f t="shared" si="2"/>
        <v>13522</v>
      </c>
      <c r="U46" s="41"/>
      <c r="V46" s="41"/>
      <c r="W46" s="49">
        <f t="shared" si="3"/>
        <v>13522</v>
      </c>
    </row>
    <row r="47" spans="1:23" ht="18">
      <c r="A47" s="234" t="s">
        <v>7</v>
      </c>
      <c r="B47" s="51" t="s">
        <v>741</v>
      </c>
      <c r="C47" s="51" t="s">
        <v>742</v>
      </c>
      <c r="D47" s="56" t="s">
        <v>803</v>
      </c>
      <c r="E47" s="51"/>
      <c r="F47" s="51" t="s">
        <v>744</v>
      </c>
      <c r="G47" s="51" t="s">
        <v>742</v>
      </c>
      <c r="H47" s="640" t="s">
        <v>1231</v>
      </c>
      <c r="I47" s="42">
        <v>11934370</v>
      </c>
      <c r="J47" s="137" t="s">
        <v>149</v>
      </c>
      <c r="K47" s="58">
        <v>4.5</v>
      </c>
      <c r="L47" s="12">
        <f>27979-20274</f>
        <v>7705</v>
      </c>
      <c r="M47" s="41"/>
      <c r="N47" s="41"/>
      <c r="O47" s="49">
        <f t="shared" si="0"/>
        <v>7705</v>
      </c>
      <c r="P47" s="12">
        <f>27979-20274</f>
        <v>7705</v>
      </c>
      <c r="Q47" s="41"/>
      <c r="R47" s="41"/>
      <c r="S47" s="49">
        <f t="shared" si="1"/>
        <v>7705</v>
      </c>
      <c r="T47" s="12">
        <f t="shared" si="2"/>
        <v>15410</v>
      </c>
      <c r="U47" s="41"/>
      <c r="V47" s="41"/>
      <c r="W47" s="49">
        <f t="shared" si="3"/>
        <v>15410</v>
      </c>
    </row>
    <row r="48" spans="1:23" ht="29.25">
      <c r="A48" s="234" t="s">
        <v>7</v>
      </c>
      <c r="B48" s="42" t="s">
        <v>741</v>
      </c>
      <c r="C48" s="42" t="s">
        <v>742</v>
      </c>
      <c r="D48" s="25" t="s">
        <v>773</v>
      </c>
      <c r="E48" s="42"/>
      <c r="F48" s="42" t="s">
        <v>744</v>
      </c>
      <c r="G48" s="42" t="s">
        <v>742</v>
      </c>
      <c r="H48" s="640" t="s">
        <v>1197</v>
      </c>
      <c r="I48" s="42">
        <v>93017438</v>
      </c>
      <c r="J48" s="138" t="s">
        <v>149</v>
      </c>
      <c r="K48" s="44">
        <v>3</v>
      </c>
      <c r="L48" s="12">
        <f>17218-1615</f>
        <v>15603</v>
      </c>
      <c r="M48" s="41"/>
      <c r="N48" s="41"/>
      <c r="O48" s="49">
        <f t="shared" si="0"/>
        <v>15603</v>
      </c>
      <c r="P48" s="12">
        <f>17218-1615</f>
        <v>15603</v>
      </c>
      <c r="Q48" s="41"/>
      <c r="R48" s="41"/>
      <c r="S48" s="49">
        <f t="shared" si="1"/>
        <v>15603</v>
      </c>
      <c r="T48" s="12">
        <f t="shared" si="2"/>
        <v>31206</v>
      </c>
      <c r="U48" s="41"/>
      <c r="V48" s="41"/>
      <c r="W48" s="49">
        <f t="shared" si="3"/>
        <v>31206</v>
      </c>
    </row>
    <row r="49" spans="1:23" ht="18">
      <c r="A49" s="234" t="s">
        <v>7</v>
      </c>
      <c r="B49" s="51" t="s">
        <v>741</v>
      </c>
      <c r="C49" s="51" t="s">
        <v>742</v>
      </c>
      <c r="D49" s="56" t="s">
        <v>756</v>
      </c>
      <c r="E49" s="51"/>
      <c r="F49" s="51" t="s">
        <v>744</v>
      </c>
      <c r="G49" s="51" t="s">
        <v>742</v>
      </c>
      <c r="H49" s="640" t="s">
        <v>1180</v>
      </c>
      <c r="I49" s="42">
        <v>90299492</v>
      </c>
      <c r="J49" s="137" t="s">
        <v>149</v>
      </c>
      <c r="K49" s="58">
        <v>7.5</v>
      </c>
      <c r="L49" s="12">
        <f>25688-18339</f>
        <v>7349</v>
      </c>
      <c r="M49" s="41"/>
      <c r="N49" s="41"/>
      <c r="O49" s="49">
        <f t="shared" si="0"/>
        <v>7349</v>
      </c>
      <c r="P49" s="12">
        <f>25688-18339</f>
        <v>7349</v>
      </c>
      <c r="Q49" s="41"/>
      <c r="R49" s="41"/>
      <c r="S49" s="49">
        <f t="shared" si="1"/>
        <v>7349</v>
      </c>
      <c r="T49" s="12">
        <f t="shared" si="2"/>
        <v>14698</v>
      </c>
      <c r="U49" s="41"/>
      <c r="V49" s="41"/>
      <c r="W49" s="49">
        <f t="shared" si="3"/>
        <v>14698</v>
      </c>
    </row>
    <row r="50" spans="1:23" ht="29.25">
      <c r="A50" s="234" t="s">
        <v>7</v>
      </c>
      <c r="B50" s="51" t="s">
        <v>741</v>
      </c>
      <c r="C50" s="51" t="s">
        <v>742</v>
      </c>
      <c r="D50" s="56" t="s">
        <v>1287</v>
      </c>
      <c r="E50" s="51"/>
      <c r="F50" s="51" t="s">
        <v>744</v>
      </c>
      <c r="G50" s="51" t="s">
        <v>742</v>
      </c>
      <c r="H50" s="640" t="s">
        <v>1227</v>
      </c>
      <c r="I50" s="42">
        <v>356784</v>
      </c>
      <c r="J50" s="137" t="s">
        <v>149</v>
      </c>
      <c r="K50" s="58">
        <v>11</v>
      </c>
      <c r="L50" s="12">
        <f>85520-73810</f>
        <v>11710</v>
      </c>
      <c r="M50" s="41"/>
      <c r="N50" s="41"/>
      <c r="O50" s="49">
        <f t="shared" si="0"/>
        <v>11710</v>
      </c>
      <c r="P50" s="12">
        <f>85520-73810</f>
        <v>11710</v>
      </c>
      <c r="Q50" s="41"/>
      <c r="R50" s="41"/>
      <c r="S50" s="49">
        <f t="shared" si="1"/>
        <v>11710</v>
      </c>
      <c r="T50" s="12">
        <f t="shared" si="2"/>
        <v>23420</v>
      </c>
      <c r="U50" s="41"/>
      <c r="V50" s="41"/>
      <c r="W50" s="49">
        <f t="shared" si="3"/>
        <v>23420</v>
      </c>
    </row>
    <row r="51" spans="1:23" ht="29.25">
      <c r="A51" s="234" t="s">
        <v>7</v>
      </c>
      <c r="B51" s="51" t="s">
        <v>741</v>
      </c>
      <c r="C51" s="51" t="s">
        <v>742</v>
      </c>
      <c r="D51" s="56" t="s">
        <v>771</v>
      </c>
      <c r="E51" s="51"/>
      <c r="F51" s="51" t="s">
        <v>744</v>
      </c>
      <c r="G51" s="51" t="s">
        <v>742</v>
      </c>
      <c r="H51" s="640" t="s">
        <v>1270</v>
      </c>
      <c r="I51" s="42">
        <v>90599424</v>
      </c>
      <c r="J51" s="137" t="s">
        <v>149</v>
      </c>
      <c r="K51" s="58">
        <v>0.9</v>
      </c>
      <c r="L51" s="12">
        <f>17548-9087</f>
        <v>8461</v>
      </c>
      <c r="M51" s="41"/>
      <c r="N51" s="41"/>
      <c r="O51" s="49">
        <f t="shared" si="0"/>
        <v>8461</v>
      </c>
      <c r="P51" s="12">
        <f>17548-9087</f>
        <v>8461</v>
      </c>
      <c r="Q51" s="41"/>
      <c r="R51" s="41"/>
      <c r="S51" s="49">
        <f t="shared" si="1"/>
        <v>8461</v>
      </c>
      <c r="T51" s="12">
        <f t="shared" si="2"/>
        <v>16922</v>
      </c>
      <c r="U51" s="41"/>
      <c r="V51" s="41"/>
      <c r="W51" s="49">
        <f t="shared" si="3"/>
        <v>16922</v>
      </c>
    </row>
    <row r="52" spans="1:23" ht="29.25">
      <c r="A52" s="234" t="s">
        <v>7</v>
      </c>
      <c r="B52" s="51" t="s">
        <v>741</v>
      </c>
      <c r="C52" s="51" t="s">
        <v>742</v>
      </c>
      <c r="D52" s="56" t="s">
        <v>743</v>
      </c>
      <c r="E52" s="51"/>
      <c r="F52" s="51" t="s">
        <v>744</v>
      </c>
      <c r="G52" s="51" t="s">
        <v>742</v>
      </c>
      <c r="H52" s="640" t="s">
        <v>1164</v>
      </c>
      <c r="I52" s="42">
        <v>256028</v>
      </c>
      <c r="J52" s="137" t="s">
        <v>149</v>
      </c>
      <c r="K52" s="58">
        <v>6.3</v>
      </c>
      <c r="L52" s="12">
        <f>162177-139190</f>
        <v>22987</v>
      </c>
      <c r="M52" s="41"/>
      <c r="N52" s="41"/>
      <c r="O52" s="49">
        <f t="shared" si="0"/>
        <v>22987</v>
      </c>
      <c r="P52" s="12">
        <f>162177-139190</f>
        <v>22987</v>
      </c>
      <c r="Q52" s="41"/>
      <c r="R52" s="41"/>
      <c r="S52" s="49">
        <f t="shared" si="1"/>
        <v>22987</v>
      </c>
      <c r="T52" s="12">
        <f t="shared" si="2"/>
        <v>45974</v>
      </c>
      <c r="U52" s="41"/>
      <c r="V52" s="41"/>
      <c r="W52" s="49">
        <f t="shared" si="3"/>
        <v>45974</v>
      </c>
    </row>
    <row r="53" spans="1:23" ht="43.5">
      <c r="A53" s="234" t="s">
        <v>7</v>
      </c>
      <c r="B53" s="51" t="s">
        <v>741</v>
      </c>
      <c r="C53" s="51" t="s">
        <v>742</v>
      </c>
      <c r="D53" s="56" t="s">
        <v>754</v>
      </c>
      <c r="E53" s="51"/>
      <c r="F53" s="51" t="s">
        <v>744</v>
      </c>
      <c r="G53" s="51" t="s">
        <v>742</v>
      </c>
      <c r="H53" s="640" t="s">
        <v>1178</v>
      </c>
      <c r="I53" s="42">
        <v>70652726</v>
      </c>
      <c r="J53" s="137" t="s">
        <v>149</v>
      </c>
      <c r="K53" s="58">
        <v>5</v>
      </c>
      <c r="L53" s="12">
        <f>38351-33694</f>
        <v>4657</v>
      </c>
      <c r="M53" s="41"/>
      <c r="N53" s="41"/>
      <c r="O53" s="49">
        <f t="shared" si="0"/>
        <v>4657</v>
      </c>
      <c r="P53" s="12">
        <f>38351-33694</f>
        <v>4657</v>
      </c>
      <c r="Q53" s="41"/>
      <c r="R53" s="41"/>
      <c r="S53" s="49">
        <f t="shared" si="1"/>
        <v>4657</v>
      </c>
      <c r="T53" s="12">
        <f t="shared" si="2"/>
        <v>9314</v>
      </c>
      <c r="U53" s="41"/>
      <c r="V53" s="41"/>
      <c r="W53" s="49">
        <f t="shared" si="3"/>
        <v>9314</v>
      </c>
    </row>
    <row r="54" spans="1:23" ht="29.25">
      <c r="A54" s="234" t="s">
        <v>7</v>
      </c>
      <c r="B54" s="51" t="s">
        <v>741</v>
      </c>
      <c r="C54" s="51" t="s">
        <v>742</v>
      </c>
      <c r="D54" s="56" t="s">
        <v>797</v>
      </c>
      <c r="E54" s="51"/>
      <c r="F54" s="51" t="s">
        <v>744</v>
      </c>
      <c r="G54" s="51" t="s">
        <v>742</v>
      </c>
      <c r="H54" s="640" t="s">
        <v>1223</v>
      </c>
      <c r="I54" s="42">
        <v>93609576</v>
      </c>
      <c r="J54" s="137" t="s">
        <v>149</v>
      </c>
      <c r="K54" s="58">
        <v>5</v>
      </c>
      <c r="L54" s="12">
        <f>28626-17798</f>
        <v>10828</v>
      </c>
      <c r="M54" s="41"/>
      <c r="N54" s="41"/>
      <c r="O54" s="49">
        <f t="shared" si="0"/>
        <v>10828</v>
      </c>
      <c r="P54" s="12">
        <f>28626-17798</f>
        <v>10828</v>
      </c>
      <c r="Q54" s="41"/>
      <c r="R54" s="41"/>
      <c r="S54" s="49">
        <f t="shared" si="1"/>
        <v>10828</v>
      </c>
      <c r="T54" s="12">
        <f t="shared" si="2"/>
        <v>21656</v>
      </c>
      <c r="U54" s="41"/>
      <c r="V54" s="41"/>
      <c r="W54" s="49">
        <f t="shared" si="3"/>
        <v>21656</v>
      </c>
    </row>
    <row r="55" spans="1:23" ht="29.25">
      <c r="A55" s="234" t="s">
        <v>7</v>
      </c>
      <c r="B55" s="51" t="s">
        <v>741</v>
      </c>
      <c r="C55" s="51" t="s">
        <v>742</v>
      </c>
      <c r="D55" s="56" t="s">
        <v>779</v>
      </c>
      <c r="E55" s="51"/>
      <c r="F55" s="51" t="s">
        <v>744</v>
      </c>
      <c r="G55" s="51" t="s">
        <v>742</v>
      </c>
      <c r="H55" s="640" t="s">
        <v>1203</v>
      </c>
      <c r="I55" s="42">
        <v>314496</v>
      </c>
      <c r="J55" s="137" t="s">
        <v>149</v>
      </c>
      <c r="K55" s="58">
        <v>3</v>
      </c>
      <c r="L55" s="12">
        <f>123694-114337</f>
        <v>9357</v>
      </c>
      <c r="M55" s="41"/>
      <c r="N55" s="41"/>
      <c r="O55" s="49">
        <f t="shared" si="0"/>
        <v>9357</v>
      </c>
      <c r="P55" s="12">
        <f>123694-114337</f>
        <v>9357</v>
      </c>
      <c r="Q55" s="41"/>
      <c r="R55" s="41"/>
      <c r="S55" s="49">
        <f t="shared" si="1"/>
        <v>9357</v>
      </c>
      <c r="T55" s="12">
        <f t="shared" si="2"/>
        <v>18714</v>
      </c>
      <c r="U55" s="41"/>
      <c r="V55" s="41"/>
      <c r="W55" s="49">
        <f t="shared" si="3"/>
        <v>18714</v>
      </c>
    </row>
    <row r="56" spans="1:23" ht="43.5">
      <c r="A56" s="234" t="s">
        <v>7</v>
      </c>
      <c r="B56" s="51" t="s">
        <v>741</v>
      </c>
      <c r="C56" s="51" t="s">
        <v>742</v>
      </c>
      <c r="D56" s="56" t="s">
        <v>778</v>
      </c>
      <c r="E56" s="51"/>
      <c r="F56" s="51" t="s">
        <v>744</v>
      </c>
      <c r="G56" s="51" t="s">
        <v>742</v>
      </c>
      <c r="H56" s="640" t="s">
        <v>1202</v>
      </c>
      <c r="I56" s="42">
        <v>357156</v>
      </c>
      <c r="J56" s="137" t="s">
        <v>149</v>
      </c>
      <c r="K56" s="58">
        <v>3.5</v>
      </c>
      <c r="L56" s="12">
        <f>92853-79954</f>
        <v>12899</v>
      </c>
      <c r="M56" s="41"/>
      <c r="N56" s="41"/>
      <c r="O56" s="49">
        <f t="shared" si="0"/>
        <v>12899</v>
      </c>
      <c r="P56" s="12">
        <f>92853-79954</f>
        <v>12899</v>
      </c>
      <c r="Q56" s="41"/>
      <c r="R56" s="41"/>
      <c r="S56" s="49">
        <f t="shared" si="1"/>
        <v>12899</v>
      </c>
      <c r="T56" s="12">
        <f t="shared" si="2"/>
        <v>25798</v>
      </c>
      <c r="U56" s="41"/>
      <c r="V56" s="41"/>
      <c r="W56" s="49">
        <f t="shared" si="3"/>
        <v>25798</v>
      </c>
    </row>
    <row r="57" spans="1:23" ht="29.25">
      <c r="A57" s="234" t="s">
        <v>7</v>
      </c>
      <c r="B57" s="51" t="s">
        <v>741</v>
      </c>
      <c r="C57" s="51" t="s">
        <v>742</v>
      </c>
      <c r="D57" s="56" t="s">
        <v>814</v>
      </c>
      <c r="E57" s="51"/>
      <c r="F57" s="51" t="s">
        <v>744</v>
      </c>
      <c r="G57" s="51" t="s">
        <v>742</v>
      </c>
      <c r="H57" s="640" t="s">
        <v>1249</v>
      </c>
      <c r="I57" s="42">
        <v>291222</v>
      </c>
      <c r="J57" s="137" t="s">
        <v>149</v>
      </c>
      <c r="K57" s="58">
        <v>4.3</v>
      </c>
      <c r="L57" s="12">
        <f>21741-18460</f>
        <v>3281</v>
      </c>
      <c r="M57" s="41"/>
      <c r="N57" s="41"/>
      <c r="O57" s="49">
        <f t="shared" si="0"/>
        <v>3281</v>
      </c>
      <c r="P57" s="12">
        <f>21741-18460</f>
        <v>3281</v>
      </c>
      <c r="Q57" s="41"/>
      <c r="R57" s="41"/>
      <c r="S57" s="49">
        <f t="shared" si="1"/>
        <v>3281</v>
      </c>
      <c r="T57" s="12">
        <f t="shared" si="2"/>
        <v>6562</v>
      </c>
      <c r="U57" s="41"/>
      <c r="V57" s="41"/>
      <c r="W57" s="49">
        <f t="shared" si="3"/>
        <v>6562</v>
      </c>
    </row>
    <row r="58" spans="1:23" ht="29.25">
      <c r="A58" s="234" t="s">
        <v>7</v>
      </c>
      <c r="B58" s="51" t="s">
        <v>741</v>
      </c>
      <c r="C58" s="51" t="s">
        <v>742</v>
      </c>
      <c r="D58" s="56" t="s">
        <v>749</v>
      </c>
      <c r="E58" s="51"/>
      <c r="F58" s="51" t="s">
        <v>744</v>
      </c>
      <c r="G58" s="51" t="s">
        <v>742</v>
      </c>
      <c r="H58" s="640" t="s">
        <v>1169</v>
      </c>
      <c r="I58" s="42">
        <v>70542067</v>
      </c>
      <c r="J58" s="137" t="s">
        <v>149</v>
      </c>
      <c r="K58" s="58">
        <v>8.5</v>
      </c>
      <c r="L58" s="12">
        <f>194525-169503</f>
        <v>25022</v>
      </c>
      <c r="M58" s="41"/>
      <c r="N58" s="41"/>
      <c r="O58" s="49">
        <f t="shared" si="0"/>
        <v>25022</v>
      </c>
      <c r="P58" s="12">
        <f>194525-169503</f>
        <v>25022</v>
      </c>
      <c r="Q58" s="41"/>
      <c r="R58" s="41"/>
      <c r="S58" s="49">
        <f t="shared" si="1"/>
        <v>25022</v>
      </c>
      <c r="T58" s="12">
        <f t="shared" si="2"/>
        <v>50044</v>
      </c>
      <c r="U58" s="41"/>
      <c r="V58" s="41"/>
      <c r="W58" s="49">
        <f t="shared" si="3"/>
        <v>50044</v>
      </c>
    </row>
    <row r="59" spans="1:23" ht="29.25">
      <c r="A59" s="234" t="s">
        <v>7</v>
      </c>
      <c r="B59" s="51" t="s">
        <v>741</v>
      </c>
      <c r="C59" s="51" t="s">
        <v>742</v>
      </c>
      <c r="D59" s="56" t="s">
        <v>759</v>
      </c>
      <c r="E59" s="51"/>
      <c r="F59" s="51" t="s">
        <v>744</v>
      </c>
      <c r="G59" s="51" t="s">
        <v>742</v>
      </c>
      <c r="H59" s="640" t="s">
        <v>1183</v>
      </c>
      <c r="I59" s="42">
        <v>70652853</v>
      </c>
      <c r="J59" s="137" t="s">
        <v>149</v>
      </c>
      <c r="K59" s="58">
        <v>6.5</v>
      </c>
      <c r="L59" s="12">
        <f>172490-157366</f>
        <v>15124</v>
      </c>
      <c r="M59" s="41"/>
      <c r="N59" s="41"/>
      <c r="O59" s="49">
        <f t="shared" si="0"/>
        <v>15124</v>
      </c>
      <c r="P59" s="12">
        <f>172490-157366</f>
        <v>15124</v>
      </c>
      <c r="Q59" s="41"/>
      <c r="R59" s="41"/>
      <c r="S59" s="49">
        <f t="shared" si="1"/>
        <v>15124</v>
      </c>
      <c r="T59" s="12">
        <f t="shared" si="2"/>
        <v>30248</v>
      </c>
      <c r="U59" s="41"/>
      <c r="V59" s="41"/>
      <c r="W59" s="49">
        <f t="shared" si="3"/>
        <v>30248</v>
      </c>
    </row>
    <row r="60" spans="1:23" ht="43.5">
      <c r="A60" s="234" t="s">
        <v>7</v>
      </c>
      <c r="B60" s="51" t="s">
        <v>741</v>
      </c>
      <c r="C60" s="51" t="s">
        <v>742</v>
      </c>
      <c r="D60" s="56" t="s">
        <v>755</v>
      </c>
      <c r="E60" s="51"/>
      <c r="F60" s="51" t="s">
        <v>744</v>
      </c>
      <c r="G60" s="51" t="s">
        <v>742</v>
      </c>
      <c r="H60" s="640" t="s">
        <v>1179</v>
      </c>
      <c r="I60" s="42">
        <v>20452</v>
      </c>
      <c r="J60" s="137" t="s">
        <v>149</v>
      </c>
      <c r="K60" s="58">
        <v>1.8</v>
      </c>
      <c r="L60" s="12">
        <f>37020-33037</f>
        <v>3983</v>
      </c>
      <c r="M60" s="41"/>
      <c r="N60" s="41"/>
      <c r="O60" s="49">
        <f t="shared" si="0"/>
        <v>3983</v>
      </c>
      <c r="P60" s="12">
        <f>37020-33037</f>
        <v>3983</v>
      </c>
      <c r="Q60" s="41"/>
      <c r="R60" s="41"/>
      <c r="S60" s="49">
        <f t="shared" si="1"/>
        <v>3983</v>
      </c>
      <c r="T60" s="12">
        <f t="shared" si="2"/>
        <v>7966</v>
      </c>
      <c r="U60" s="41"/>
      <c r="V60" s="41"/>
      <c r="W60" s="49">
        <f t="shared" si="3"/>
        <v>7966</v>
      </c>
    </row>
    <row r="61" spans="1:23" ht="29.25">
      <c r="A61" s="234" t="s">
        <v>7</v>
      </c>
      <c r="B61" s="51" t="s">
        <v>741</v>
      </c>
      <c r="C61" s="51" t="s">
        <v>742</v>
      </c>
      <c r="D61" s="56" t="s">
        <v>798</v>
      </c>
      <c r="E61" s="51"/>
      <c r="F61" s="51" t="s">
        <v>744</v>
      </c>
      <c r="G61" s="51" t="s">
        <v>742</v>
      </c>
      <c r="H61" s="640" t="s">
        <v>1224</v>
      </c>
      <c r="I61" s="42">
        <v>357150</v>
      </c>
      <c r="J61" s="137" t="s">
        <v>149</v>
      </c>
      <c r="K61" s="58">
        <v>7.5</v>
      </c>
      <c r="L61" s="12">
        <f>105720-91602</f>
        <v>14118</v>
      </c>
      <c r="M61" s="41"/>
      <c r="N61" s="41"/>
      <c r="O61" s="49">
        <f t="shared" si="0"/>
        <v>14118</v>
      </c>
      <c r="P61" s="12">
        <f>105720-91602</f>
        <v>14118</v>
      </c>
      <c r="Q61" s="41"/>
      <c r="R61" s="41"/>
      <c r="S61" s="49">
        <f t="shared" si="1"/>
        <v>14118</v>
      </c>
      <c r="T61" s="12">
        <f t="shared" si="2"/>
        <v>28236</v>
      </c>
      <c r="U61" s="41"/>
      <c r="V61" s="41"/>
      <c r="W61" s="49">
        <f t="shared" si="3"/>
        <v>28236</v>
      </c>
    </row>
    <row r="62" spans="1:23" ht="29.25">
      <c r="A62" s="234" t="s">
        <v>7</v>
      </c>
      <c r="B62" s="51" t="s">
        <v>741</v>
      </c>
      <c r="C62" s="51" t="s">
        <v>742</v>
      </c>
      <c r="D62" s="56" t="s">
        <v>781</v>
      </c>
      <c r="E62" s="51"/>
      <c r="F62" s="51" t="s">
        <v>744</v>
      </c>
      <c r="G62" s="51" t="s">
        <v>742</v>
      </c>
      <c r="H62" s="640" t="s">
        <v>1205</v>
      </c>
      <c r="I62" s="42">
        <v>356787</v>
      </c>
      <c r="J62" s="137" t="s">
        <v>149</v>
      </c>
      <c r="K62" s="58">
        <v>20</v>
      </c>
      <c r="L62" s="12">
        <f>123644-106158</f>
        <v>17486</v>
      </c>
      <c r="M62" s="41"/>
      <c r="N62" s="41"/>
      <c r="O62" s="49">
        <f t="shared" si="0"/>
        <v>17486</v>
      </c>
      <c r="P62" s="12">
        <f>123644-106158</f>
        <v>17486</v>
      </c>
      <c r="Q62" s="41"/>
      <c r="R62" s="41"/>
      <c r="S62" s="49">
        <f t="shared" si="1"/>
        <v>17486</v>
      </c>
      <c r="T62" s="12">
        <f t="shared" si="2"/>
        <v>34972</v>
      </c>
      <c r="U62" s="41"/>
      <c r="V62" s="41"/>
      <c r="W62" s="49">
        <f t="shared" si="3"/>
        <v>34972</v>
      </c>
    </row>
    <row r="63" spans="1:23" ht="29.25">
      <c r="A63" s="234" t="s">
        <v>7</v>
      </c>
      <c r="B63" s="51" t="s">
        <v>741</v>
      </c>
      <c r="C63" s="51" t="s">
        <v>742</v>
      </c>
      <c r="D63" s="56" t="s">
        <v>777</v>
      </c>
      <c r="E63" s="51"/>
      <c r="F63" s="51" t="s">
        <v>744</v>
      </c>
      <c r="G63" s="51" t="s">
        <v>742</v>
      </c>
      <c r="H63" s="640" t="s">
        <v>1201</v>
      </c>
      <c r="I63" s="42">
        <v>90299394</v>
      </c>
      <c r="J63" s="137" t="s">
        <v>149</v>
      </c>
      <c r="K63" s="58">
        <v>4.5</v>
      </c>
      <c r="L63" s="12">
        <f>16027-12337</f>
        <v>3690</v>
      </c>
      <c r="M63" s="41"/>
      <c r="N63" s="41"/>
      <c r="O63" s="49">
        <f t="shared" si="0"/>
        <v>3690</v>
      </c>
      <c r="P63" s="12">
        <f>16027-12337</f>
        <v>3690</v>
      </c>
      <c r="Q63" s="41"/>
      <c r="R63" s="41"/>
      <c r="S63" s="49">
        <f t="shared" si="1"/>
        <v>3690</v>
      </c>
      <c r="T63" s="12">
        <f t="shared" si="2"/>
        <v>7380</v>
      </c>
      <c r="U63" s="41"/>
      <c r="V63" s="41"/>
      <c r="W63" s="49">
        <f t="shared" si="3"/>
        <v>7380</v>
      </c>
    </row>
    <row r="64" spans="1:23" ht="43.5">
      <c r="A64" s="234" t="s">
        <v>7</v>
      </c>
      <c r="B64" s="51" t="s">
        <v>741</v>
      </c>
      <c r="C64" s="51" t="s">
        <v>742</v>
      </c>
      <c r="D64" s="56" t="s">
        <v>810</v>
      </c>
      <c r="E64" s="51"/>
      <c r="F64" s="51" t="s">
        <v>744</v>
      </c>
      <c r="G64" s="51" t="s">
        <v>742</v>
      </c>
      <c r="H64" s="640" t="s">
        <v>1244</v>
      </c>
      <c r="I64" s="42">
        <v>357352</v>
      </c>
      <c r="J64" s="137" t="s">
        <v>149</v>
      </c>
      <c r="K64" s="58">
        <v>4.8</v>
      </c>
      <c r="L64" s="12">
        <f>15430-14485</f>
        <v>945</v>
      </c>
      <c r="M64" s="41"/>
      <c r="N64" s="41"/>
      <c r="O64" s="49">
        <f t="shared" si="0"/>
        <v>945</v>
      </c>
      <c r="P64" s="12">
        <f>15430-14485</f>
        <v>945</v>
      </c>
      <c r="Q64" s="41"/>
      <c r="R64" s="41"/>
      <c r="S64" s="49">
        <f t="shared" si="1"/>
        <v>945</v>
      </c>
      <c r="T64" s="12">
        <f t="shared" si="2"/>
        <v>1890</v>
      </c>
      <c r="U64" s="41"/>
      <c r="V64" s="41"/>
      <c r="W64" s="49">
        <f t="shared" si="3"/>
        <v>1890</v>
      </c>
    </row>
    <row r="65" spans="1:23" ht="18">
      <c r="A65" s="234" t="s">
        <v>7</v>
      </c>
      <c r="B65" s="51" t="s">
        <v>741</v>
      </c>
      <c r="C65" s="51" t="s">
        <v>742</v>
      </c>
      <c r="D65" s="56" t="s">
        <v>76</v>
      </c>
      <c r="E65" s="51"/>
      <c r="F65" s="51" t="s">
        <v>744</v>
      </c>
      <c r="G65" s="51" t="s">
        <v>742</v>
      </c>
      <c r="H65" s="640" t="s">
        <v>1222</v>
      </c>
      <c r="I65" s="42">
        <v>70692760</v>
      </c>
      <c r="J65" s="137" t="s">
        <v>149</v>
      </c>
      <c r="K65" s="58">
        <v>4.8</v>
      </c>
      <c r="L65" s="12">
        <f>73897-64801</f>
        <v>9096</v>
      </c>
      <c r="M65" s="41"/>
      <c r="N65" s="41"/>
      <c r="O65" s="49">
        <f t="shared" si="0"/>
        <v>9096</v>
      </c>
      <c r="P65" s="12">
        <f>73897-64801</f>
        <v>9096</v>
      </c>
      <c r="Q65" s="41"/>
      <c r="R65" s="41"/>
      <c r="S65" s="49">
        <f t="shared" si="1"/>
        <v>9096</v>
      </c>
      <c r="T65" s="12">
        <f t="shared" si="2"/>
        <v>18192</v>
      </c>
      <c r="U65" s="41"/>
      <c r="V65" s="41"/>
      <c r="W65" s="49">
        <f t="shared" si="3"/>
        <v>18192</v>
      </c>
    </row>
    <row r="66" spans="1:23" ht="18">
      <c r="A66" s="234" t="s">
        <v>7</v>
      </c>
      <c r="B66" s="51" t="s">
        <v>741</v>
      </c>
      <c r="C66" s="51" t="s">
        <v>742</v>
      </c>
      <c r="D66" s="56" t="s">
        <v>395</v>
      </c>
      <c r="E66" s="51"/>
      <c r="F66" s="51" t="s">
        <v>744</v>
      </c>
      <c r="G66" s="51" t="s">
        <v>742</v>
      </c>
      <c r="H66" s="640" t="s">
        <v>1174</v>
      </c>
      <c r="I66" s="42">
        <v>8275466</v>
      </c>
      <c r="J66" s="137" t="s">
        <v>149</v>
      </c>
      <c r="K66" s="58">
        <v>3.4</v>
      </c>
      <c r="L66" s="12">
        <f>73998-67561</f>
        <v>6437</v>
      </c>
      <c r="M66" s="41"/>
      <c r="N66" s="41"/>
      <c r="O66" s="49">
        <f t="shared" si="0"/>
        <v>6437</v>
      </c>
      <c r="P66" s="12">
        <f>73998-67561</f>
        <v>6437</v>
      </c>
      <c r="Q66" s="41"/>
      <c r="R66" s="41"/>
      <c r="S66" s="49">
        <f t="shared" si="1"/>
        <v>6437</v>
      </c>
      <c r="T66" s="12">
        <f t="shared" si="2"/>
        <v>12874</v>
      </c>
      <c r="U66" s="41"/>
      <c r="V66" s="41"/>
      <c r="W66" s="49">
        <f t="shared" si="3"/>
        <v>12874</v>
      </c>
    </row>
    <row r="67" spans="1:23" ht="29.25">
      <c r="A67" s="234" t="s">
        <v>7</v>
      </c>
      <c r="B67" s="51" t="s">
        <v>741</v>
      </c>
      <c r="C67" s="51" t="s">
        <v>742</v>
      </c>
      <c r="D67" s="56" t="s">
        <v>827</v>
      </c>
      <c r="E67" s="51"/>
      <c r="F67" s="51" t="s">
        <v>744</v>
      </c>
      <c r="G67" s="51" t="s">
        <v>742</v>
      </c>
      <c r="H67" s="640" t="s">
        <v>1265</v>
      </c>
      <c r="I67" s="42">
        <v>12612065</v>
      </c>
      <c r="J67" s="137" t="s">
        <v>149</v>
      </c>
      <c r="K67" s="58">
        <v>10</v>
      </c>
      <c r="L67" s="12">
        <f>66418-44222</f>
        <v>22196</v>
      </c>
      <c r="M67" s="41"/>
      <c r="N67" s="41"/>
      <c r="O67" s="49">
        <f t="shared" si="0"/>
        <v>22196</v>
      </c>
      <c r="P67" s="12">
        <f>66418-44222</f>
        <v>22196</v>
      </c>
      <c r="Q67" s="41"/>
      <c r="R67" s="41"/>
      <c r="S67" s="49">
        <f t="shared" si="1"/>
        <v>22196</v>
      </c>
      <c r="T67" s="12">
        <f t="shared" si="2"/>
        <v>44392</v>
      </c>
      <c r="U67" s="41"/>
      <c r="V67" s="41"/>
      <c r="W67" s="49">
        <f t="shared" si="3"/>
        <v>44392</v>
      </c>
    </row>
    <row r="68" spans="1:23" ht="29.25">
      <c r="A68" s="234" t="s">
        <v>7</v>
      </c>
      <c r="B68" s="51" t="s">
        <v>741</v>
      </c>
      <c r="C68" s="51" t="s">
        <v>742</v>
      </c>
      <c r="D68" s="56" t="s">
        <v>821</v>
      </c>
      <c r="E68" s="51"/>
      <c r="F68" s="51" t="s">
        <v>744</v>
      </c>
      <c r="G68" s="51" t="s">
        <v>742</v>
      </c>
      <c r="H68" s="640" t="s">
        <v>1258</v>
      </c>
      <c r="I68" s="42">
        <v>10962272</v>
      </c>
      <c r="J68" s="137" t="s">
        <v>149</v>
      </c>
      <c r="K68" s="58">
        <v>4</v>
      </c>
      <c r="L68" s="12">
        <f>163216-122881</f>
        <v>40335</v>
      </c>
      <c r="M68" s="41"/>
      <c r="N68" s="41"/>
      <c r="O68" s="49">
        <f t="shared" si="0"/>
        <v>40335</v>
      </c>
      <c r="P68" s="12">
        <f>163216-122881</f>
        <v>40335</v>
      </c>
      <c r="Q68" s="41"/>
      <c r="R68" s="41"/>
      <c r="S68" s="49">
        <f t="shared" si="1"/>
        <v>40335</v>
      </c>
      <c r="T68" s="12">
        <f t="shared" si="2"/>
        <v>80670</v>
      </c>
      <c r="U68" s="41"/>
      <c r="V68" s="41"/>
      <c r="W68" s="49">
        <f t="shared" si="3"/>
        <v>80670</v>
      </c>
    </row>
    <row r="69" spans="1:23" ht="29.25">
      <c r="A69" s="234" t="s">
        <v>7</v>
      </c>
      <c r="B69" s="51" t="s">
        <v>741</v>
      </c>
      <c r="C69" s="51" t="s">
        <v>742</v>
      </c>
      <c r="D69" s="56" t="s">
        <v>806</v>
      </c>
      <c r="E69" s="51"/>
      <c r="F69" s="51" t="s">
        <v>744</v>
      </c>
      <c r="G69" s="51" t="s">
        <v>742</v>
      </c>
      <c r="H69" s="640" t="s">
        <v>1240</v>
      </c>
      <c r="I69" s="42">
        <v>93016833</v>
      </c>
      <c r="J69" s="137" t="s">
        <v>149</v>
      </c>
      <c r="K69" s="58">
        <v>7.5</v>
      </c>
      <c r="L69" s="12">
        <f>770*14</f>
        <v>10780</v>
      </c>
      <c r="M69" s="41"/>
      <c r="N69" s="41"/>
      <c r="O69" s="49">
        <f t="shared" si="0"/>
        <v>10780</v>
      </c>
      <c r="P69" s="12">
        <f>770*14</f>
        <v>10780</v>
      </c>
      <c r="Q69" s="41"/>
      <c r="R69" s="41"/>
      <c r="S69" s="49">
        <f t="shared" si="1"/>
        <v>10780</v>
      </c>
      <c r="T69" s="12">
        <f t="shared" si="2"/>
        <v>21560</v>
      </c>
      <c r="U69" s="41"/>
      <c r="V69" s="41"/>
      <c r="W69" s="49">
        <f t="shared" si="3"/>
        <v>21560</v>
      </c>
    </row>
    <row r="70" spans="1:23" ht="29.25">
      <c r="A70" s="234" t="s">
        <v>7</v>
      </c>
      <c r="B70" s="51" t="s">
        <v>741</v>
      </c>
      <c r="C70" s="51" t="s">
        <v>742</v>
      </c>
      <c r="D70" s="56" t="s">
        <v>771</v>
      </c>
      <c r="E70" s="51"/>
      <c r="F70" s="51" t="s">
        <v>744</v>
      </c>
      <c r="G70" s="51" t="s">
        <v>742</v>
      </c>
      <c r="H70" s="640" t="s">
        <v>1267</v>
      </c>
      <c r="I70" s="42">
        <v>94963775</v>
      </c>
      <c r="J70" s="137" t="s">
        <v>149</v>
      </c>
      <c r="K70" s="58">
        <v>2</v>
      </c>
      <c r="L70" s="12">
        <f>7168-1234</f>
        <v>5934</v>
      </c>
      <c r="M70" s="41"/>
      <c r="N70" s="41"/>
      <c r="O70" s="49">
        <f t="shared" si="0"/>
        <v>5934</v>
      </c>
      <c r="P70" s="12">
        <f>7168-1234</f>
        <v>5934</v>
      </c>
      <c r="Q70" s="41"/>
      <c r="R70" s="41"/>
      <c r="S70" s="49">
        <f t="shared" si="1"/>
        <v>5934</v>
      </c>
      <c r="T70" s="12">
        <f t="shared" si="2"/>
        <v>11868</v>
      </c>
      <c r="U70" s="41"/>
      <c r="V70" s="41"/>
      <c r="W70" s="49">
        <f t="shared" si="3"/>
        <v>11868</v>
      </c>
    </row>
    <row r="71" spans="1:23" ht="29.25">
      <c r="A71" s="234" t="s">
        <v>7</v>
      </c>
      <c r="B71" s="51" t="s">
        <v>741</v>
      </c>
      <c r="C71" s="51" t="s">
        <v>742</v>
      </c>
      <c r="D71" s="56" t="s">
        <v>1291</v>
      </c>
      <c r="E71" s="51"/>
      <c r="F71" s="51" t="s">
        <v>744</v>
      </c>
      <c r="G71" s="51" t="s">
        <v>742</v>
      </c>
      <c r="H71" s="640" t="s">
        <v>1237</v>
      </c>
      <c r="I71" s="42">
        <v>349969</v>
      </c>
      <c r="J71" s="137" t="s">
        <v>149</v>
      </c>
      <c r="K71" s="58">
        <v>4</v>
      </c>
      <c r="L71" s="12">
        <f>41143-35259</f>
        <v>5884</v>
      </c>
      <c r="M71" s="41"/>
      <c r="N71" s="41"/>
      <c r="O71" s="49">
        <f t="shared" si="0"/>
        <v>5884</v>
      </c>
      <c r="P71" s="12">
        <f>41143-35259</f>
        <v>5884</v>
      </c>
      <c r="Q71" s="41"/>
      <c r="R71" s="41"/>
      <c r="S71" s="49">
        <f t="shared" si="1"/>
        <v>5884</v>
      </c>
      <c r="T71" s="12">
        <f t="shared" si="2"/>
        <v>11768</v>
      </c>
      <c r="U71" s="41"/>
      <c r="V71" s="41"/>
      <c r="W71" s="49">
        <f t="shared" si="3"/>
        <v>11768</v>
      </c>
    </row>
    <row r="72" spans="1:23" ht="29.25">
      <c r="A72" s="234" t="s">
        <v>7</v>
      </c>
      <c r="B72" s="51" t="s">
        <v>741</v>
      </c>
      <c r="C72" s="51" t="s">
        <v>742</v>
      </c>
      <c r="D72" s="56" t="s">
        <v>820</v>
      </c>
      <c r="E72" s="51"/>
      <c r="F72" s="51" t="s">
        <v>744</v>
      </c>
      <c r="G72" s="51" t="s">
        <v>742</v>
      </c>
      <c r="H72" s="640" t="s">
        <v>1257</v>
      </c>
      <c r="I72" s="42">
        <v>90104540</v>
      </c>
      <c r="J72" s="137" t="s">
        <v>149</v>
      </c>
      <c r="K72" s="58">
        <v>7.8</v>
      </c>
      <c r="L72" s="12">
        <f>29051-23289</f>
        <v>5762</v>
      </c>
      <c r="M72" s="41"/>
      <c r="N72" s="41"/>
      <c r="O72" s="49">
        <f t="shared" si="0"/>
        <v>5762</v>
      </c>
      <c r="P72" s="12">
        <f>29051-23289</f>
        <v>5762</v>
      </c>
      <c r="Q72" s="41"/>
      <c r="R72" s="41"/>
      <c r="S72" s="49">
        <f t="shared" si="1"/>
        <v>5762</v>
      </c>
      <c r="T72" s="12">
        <f t="shared" si="2"/>
        <v>11524</v>
      </c>
      <c r="U72" s="41"/>
      <c r="V72" s="41"/>
      <c r="W72" s="49">
        <f t="shared" si="3"/>
        <v>11524</v>
      </c>
    </row>
    <row r="73" spans="1:23" ht="29.25">
      <c r="A73" s="234" t="s">
        <v>7</v>
      </c>
      <c r="B73" s="51" t="s">
        <v>741</v>
      </c>
      <c r="C73" s="51" t="s">
        <v>742</v>
      </c>
      <c r="D73" s="56" t="s">
        <v>771</v>
      </c>
      <c r="E73" s="51"/>
      <c r="F73" s="51" t="s">
        <v>744</v>
      </c>
      <c r="G73" s="51" t="s">
        <v>742</v>
      </c>
      <c r="H73" s="640" t="s">
        <v>1260</v>
      </c>
      <c r="I73" s="42">
        <v>9677706</v>
      </c>
      <c r="J73" s="137" t="s">
        <v>149</v>
      </c>
      <c r="K73" s="58">
        <v>3.3</v>
      </c>
      <c r="L73" s="12">
        <f>79664-70239</f>
        <v>9425</v>
      </c>
      <c r="M73" s="41"/>
      <c r="N73" s="41"/>
      <c r="O73" s="49">
        <f t="shared" si="0"/>
        <v>9425</v>
      </c>
      <c r="P73" s="12">
        <f>79664-70239</f>
        <v>9425</v>
      </c>
      <c r="Q73" s="41"/>
      <c r="R73" s="41"/>
      <c r="S73" s="49">
        <f t="shared" si="1"/>
        <v>9425</v>
      </c>
      <c r="T73" s="12">
        <f t="shared" si="2"/>
        <v>18850</v>
      </c>
      <c r="U73" s="41"/>
      <c r="V73" s="41"/>
      <c r="W73" s="49">
        <f t="shared" si="3"/>
        <v>18850</v>
      </c>
    </row>
    <row r="74" spans="1:23" ht="43.5">
      <c r="A74" s="234" t="s">
        <v>7</v>
      </c>
      <c r="B74" s="51" t="s">
        <v>741</v>
      </c>
      <c r="C74" s="51" t="s">
        <v>742</v>
      </c>
      <c r="D74" s="56" t="s">
        <v>817</v>
      </c>
      <c r="E74" s="51"/>
      <c r="F74" s="51" t="s">
        <v>744</v>
      </c>
      <c r="G74" s="51" t="s">
        <v>742</v>
      </c>
      <c r="H74" s="640" t="s">
        <v>1254</v>
      </c>
      <c r="I74" s="42">
        <v>320133</v>
      </c>
      <c r="J74" s="137" t="s">
        <v>149</v>
      </c>
      <c r="K74" s="58">
        <v>3.5</v>
      </c>
      <c r="L74" s="12">
        <f>37970-32626</f>
        <v>5344</v>
      </c>
      <c r="M74" s="41"/>
      <c r="N74" s="41"/>
      <c r="O74" s="49">
        <f t="shared" si="0"/>
        <v>5344</v>
      </c>
      <c r="P74" s="12">
        <f>37970-32626</f>
        <v>5344</v>
      </c>
      <c r="Q74" s="41"/>
      <c r="R74" s="41"/>
      <c r="S74" s="49">
        <f t="shared" si="1"/>
        <v>5344</v>
      </c>
      <c r="T74" s="12">
        <f t="shared" si="2"/>
        <v>10688</v>
      </c>
      <c r="U74" s="41"/>
      <c r="V74" s="41"/>
      <c r="W74" s="49">
        <f t="shared" si="3"/>
        <v>10688</v>
      </c>
    </row>
    <row r="75" spans="1:23" ht="18">
      <c r="A75" s="234" t="s">
        <v>7</v>
      </c>
      <c r="B75" s="51" t="s">
        <v>741</v>
      </c>
      <c r="C75" s="51" t="s">
        <v>742</v>
      </c>
      <c r="D75" s="56" t="s">
        <v>819</v>
      </c>
      <c r="E75" s="51"/>
      <c r="F75" s="51" t="s">
        <v>744</v>
      </c>
      <c r="G75" s="51" t="s">
        <v>742</v>
      </c>
      <c r="H75" s="640" t="s">
        <v>1256</v>
      </c>
      <c r="I75" s="42">
        <v>357230</v>
      </c>
      <c r="J75" s="137" t="s">
        <v>149</v>
      </c>
      <c r="K75" s="58">
        <v>5.3</v>
      </c>
      <c r="L75" s="12">
        <f>54407-46514</f>
        <v>7893</v>
      </c>
      <c r="M75" s="41"/>
      <c r="N75" s="41"/>
      <c r="O75" s="49">
        <f t="shared" si="0"/>
        <v>7893</v>
      </c>
      <c r="P75" s="12">
        <f>54407-46514</f>
        <v>7893</v>
      </c>
      <c r="Q75" s="41"/>
      <c r="R75" s="41"/>
      <c r="S75" s="49">
        <f t="shared" si="1"/>
        <v>7893</v>
      </c>
      <c r="T75" s="12">
        <f t="shared" si="2"/>
        <v>15786</v>
      </c>
      <c r="U75" s="41"/>
      <c r="V75" s="41"/>
      <c r="W75" s="49">
        <f t="shared" si="3"/>
        <v>15786</v>
      </c>
    </row>
    <row r="76" spans="1:23" ht="18">
      <c r="A76" s="234" t="s">
        <v>7</v>
      </c>
      <c r="B76" s="51" t="s">
        <v>741</v>
      </c>
      <c r="C76" s="51" t="s">
        <v>742</v>
      </c>
      <c r="D76" s="56" t="s">
        <v>818</v>
      </c>
      <c r="E76" s="51"/>
      <c r="F76" s="51" t="s">
        <v>744</v>
      </c>
      <c r="G76" s="51" t="s">
        <v>742</v>
      </c>
      <c r="H76" s="640" t="s">
        <v>1255</v>
      </c>
      <c r="I76" s="42">
        <v>356023</v>
      </c>
      <c r="J76" s="137" t="s">
        <v>149</v>
      </c>
      <c r="K76" s="58">
        <v>4</v>
      </c>
      <c r="L76" s="12">
        <f>42561-37479</f>
        <v>5082</v>
      </c>
      <c r="M76" s="41"/>
      <c r="N76" s="41"/>
      <c r="O76" s="49">
        <f t="shared" si="0"/>
        <v>5082</v>
      </c>
      <c r="P76" s="12">
        <f>42561-37479</f>
        <v>5082</v>
      </c>
      <c r="Q76" s="41"/>
      <c r="R76" s="41"/>
      <c r="S76" s="49">
        <f t="shared" si="1"/>
        <v>5082</v>
      </c>
      <c r="T76" s="12">
        <f t="shared" si="2"/>
        <v>10164</v>
      </c>
      <c r="U76" s="41"/>
      <c r="V76" s="41"/>
      <c r="W76" s="49">
        <f t="shared" si="3"/>
        <v>10164</v>
      </c>
    </row>
    <row r="77" spans="1:23" ht="43.5">
      <c r="A77" s="234" t="s">
        <v>7</v>
      </c>
      <c r="B77" s="51" t="s">
        <v>741</v>
      </c>
      <c r="C77" s="51" t="s">
        <v>742</v>
      </c>
      <c r="D77" s="56" t="s">
        <v>811</v>
      </c>
      <c r="E77" s="51"/>
      <c r="F77" s="51" t="s">
        <v>744</v>
      </c>
      <c r="G77" s="51" t="s">
        <v>742</v>
      </c>
      <c r="H77" s="640" t="s">
        <v>1245</v>
      </c>
      <c r="I77" s="42">
        <v>320127</v>
      </c>
      <c r="J77" s="137" t="s">
        <v>149</v>
      </c>
      <c r="K77" s="58">
        <v>6.5</v>
      </c>
      <c r="L77" s="12">
        <f>68426-59210</f>
        <v>9216</v>
      </c>
      <c r="M77" s="41"/>
      <c r="N77" s="41"/>
      <c r="O77" s="49">
        <f t="shared" si="0"/>
        <v>9216</v>
      </c>
      <c r="P77" s="12">
        <f>68426-59210</f>
        <v>9216</v>
      </c>
      <c r="Q77" s="41"/>
      <c r="R77" s="41"/>
      <c r="S77" s="49">
        <f t="shared" si="1"/>
        <v>9216</v>
      </c>
      <c r="T77" s="12">
        <f t="shared" si="2"/>
        <v>18432</v>
      </c>
      <c r="U77" s="41"/>
      <c r="V77" s="41"/>
      <c r="W77" s="49">
        <f t="shared" si="3"/>
        <v>18432</v>
      </c>
    </row>
    <row r="78" spans="1:23" ht="43.5">
      <c r="A78" s="234" t="s">
        <v>7</v>
      </c>
      <c r="B78" s="51" t="s">
        <v>741</v>
      </c>
      <c r="C78" s="51" t="s">
        <v>742</v>
      </c>
      <c r="D78" s="56" t="s">
        <v>801</v>
      </c>
      <c r="E78" s="51"/>
      <c r="F78" s="51" t="s">
        <v>744</v>
      </c>
      <c r="G78" s="51" t="s">
        <v>742</v>
      </c>
      <c r="H78" s="640" t="s">
        <v>1229</v>
      </c>
      <c r="I78" s="42">
        <v>318735</v>
      </c>
      <c r="J78" s="137" t="s">
        <v>149</v>
      </c>
      <c r="K78" s="58">
        <v>3.5</v>
      </c>
      <c r="L78" s="12">
        <f>45407-39059</f>
        <v>6348</v>
      </c>
      <c r="M78" s="41"/>
      <c r="N78" s="41"/>
      <c r="O78" s="49">
        <f t="shared" si="0"/>
        <v>6348</v>
      </c>
      <c r="P78" s="12">
        <f>45407-39059</f>
        <v>6348</v>
      </c>
      <c r="Q78" s="41"/>
      <c r="R78" s="41"/>
      <c r="S78" s="49">
        <f t="shared" si="1"/>
        <v>6348</v>
      </c>
      <c r="T78" s="12">
        <f t="shared" si="2"/>
        <v>12696</v>
      </c>
      <c r="U78" s="41"/>
      <c r="V78" s="41"/>
      <c r="W78" s="49">
        <f t="shared" si="3"/>
        <v>12696</v>
      </c>
    </row>
    <row r="79" spans="1:23" ht="29.25">
      <c r="A79" s="234" t="s">
        <v>7</v>
      </c>
      <c r="B79" s="51" t="s">
        <v>741</v>
      </c>
      <c r="C79" s="51" t="s">
        <v>742</v>
      </c>
      <c r="D79" s="56" t="s">
        <v>830</v>
      </c>
      <c r="E79" s="51"/>
      <c r="F79" s="51" t="s">
        <v>744</v>
      </c>
      <c r="G79" s="51" t="s">
        <v>742</v>
      </c>
      <c r="H79" s="640" t="s">
        <v>1269</v>
      </c>
      <c r="I79" s="42">
        <v>12979770</v>
      </c>
      <c r="J79" s="137" t="s">
        <v>149</v>
      </c>
      <c r="K79" s="58">
        <v>2.5</v>
      </c>
      <c r="L79" s="12">
        <f>9585-1353</f>
        <v>8232</v>
      </c>
      <c r="M79" s="41"/>
      <c r="N79" s="41"/>
      <c r="O79" s="49">
        <f t="shared" si="0"/>
        <v>8232</v>
      </c>
      <c r="P79" s="12">
        <f>9585-1353</f>
        <v>8232</v>
      </c>
      <c r="Q79" s="41"/>
      <c r="R79" s="41"/>
      <c r="S79" s="49">
        <f t="shared" si="1"/>
        <v>8232</v>
      </c>
      <c r="T79" s="12">
        <f t="shared" si="2"/>
        <v>16464</v>
      </c>
      <c r="U79" s="41"/>
      <c r="V79" s="41"/>
      <c r="W79" s="49">
        <f t="shared" si="3"/>
        <v>16464</v>
      </c>
    </row>
    <row r="80" spans="1:23" ht="29.25">
      <c r="A80" s="234" t="s">
        <v>7</v>
      </c>
      <c r="B80" s="51" t="s">
        <v>741</v>
      </c>
      <c r="C80" s="51" t="s">
        <v>742</v>
      </c>
      <c r="D80" s="56" t="s">
        <v>794</v>
      </c>
      <c r="E80" s="51"/>
      <c r="F80" s="51" t="s">
        <v>744</v>
      </c>
      <c r="G80" s="51" t="s">
        <v>742</v>
      </c>
      <c r="H80" s="640" t="s">
        <v>1218</v>
      </c>
      <c r="I80" s="42">
        <v>70507646</v>
      </c>
      <c r="J80" s="137" t="s">
        <v>149</v>
      </c>
      <c r="K80" s="58">
        <v>1.8</v>
      </c>
      <c r="L80" s="12">
        <f>20846-19933</f>
        <v>913</v>
      </c>
      <c r="M80" s="41"/>
      <c r="N80" s="41"/>
      <c r="O80" s="49">
        <f t="shared" si="0"/>
        <v>913</v>
      </c>
      <c r="P80" s="12">
        <f>20846-19933</f>
        <v>913</v>
      </c>
      <c r="Q80" s="41"/>
      <c r="R80" s="41"/>
      <c r="S80" s="49">
        <f t="shared" si="1"/>
        <v>913</v>
      </c>
      <c r="T80" s="12">
        <f t="shared" si="2"/>
        <v>1826</v>
      </c>
      <c r="U80" s="41"/>
      <c r="V80" s="41"/>
      <c r="W80" s="49">
        <f t="shared" si="3"/>
        <v>1826</v>
      </c>
    </row>
    <row r="81" spans="1:23" ht="29.25">
      <c r="A81" s="234" t="s">
        <v>7</v>
      </c>
      <c r="B81" s="51" t="s">
        <v>741</v>
      </c>
      <c r="C81" s="51" t="s">
        <v>742</v>
      </c>
      <c r="D81" s="56" t="s">
        <v>796</v>
      </c>
      <c r="E81" s="51"/>
      <c r="F81" s="51" t="s">
        <v>744</v>
      </c>
      <c r="G81" s="51" t="s">
        <v>742</v>
      </c>
      <c r="H81" s="640" t="s">
        <v>1221</v>
      </c>
      <c r="I81" s="42">
        <v>356123</v>
      </c>
      <c r="J81" s="137" t="s">
        <v>149</v>
      </c>
      <c r="K81" s="58">
        <v>5</v>
      </c>
      <c r="L81" s="12">
        <f>46726-40099</f>
        <v>6627</v>
      </c>
      <c r="M81" s="41"/>
      <c r="N81" s="41"/>
      <c r="O81" s="49">
        <f t="shared" si="0"/>
        <v>6627</v>
      </c>
      <c r="P81" s="12">
        <f>46726-40099</f>
        <v>6627</v>
      </c>
      <c r="Q81" s="41"/>
      <c r="R81" s="41"/>
      <c r="S81" s="49">
        <f t="shared" si="1"/>
        <v>6627</v>
      </c>
      <c r="T81" s="12">
        <f t="shared" si="2"/>
        <v>13254</v>
      </c>
      <c r="U81" s="41"/>
      <c r="V81" s="41"/>
      <c r="W81" s="49">
        <f t="shared" si="3"/>
        <v>13254</v>
      </c>
    </row>
    <row r="82" spans="1:23" ht="18">
      <c r="A82" s="234" t="s">
        <v>7</v>
      </c>
      <c r="B82" s="51" t="s">
        <v>741</v>
      </c>
      <c r="C82" s="51" t="s">
        <v>742</v>
      </c>
      <c r="D82" s="56" t="s">
        <v>774</v>
      </c>
      <c r="E82" s="51"/>
      <c r="F82" s="51" t="s">
        <v>744</v>
      </c>
      <c r="G82" s="51" t="s">
        <v>742</v>
      </c>
      <c r="H82" s="640" t="s">
        <v>1198</v>
      </c>
      <c r="I82" s="42">
        <v>8316773</v>
      </c>
      <c r="J82" s="137" t="s">
        <v>149</v>
      </c>
      <c r="K82" s="58">
        <v>1.5</v>
      </c>
      <c r="L82" s="12">
        <f>175141-158622</f>
        <v>16519</v>
      </c>
      <c r="M82" s="41"/>
      <c r="N82" s="41"/>
      <c r="O82" s="49">
        <f t="shared" si="0"/>
        <v>16519</v>
      </c>
      <c r="P82" s="12">
        <f>175141-158622</f>
        <v>16519</v>
      </c>
      <c r="Q82" s="41"/>
      <c r="R82" s="41"/>
      <c r="S82" s="49">
        <f t="shared" si="1"/>
        <v>16519</v>
      </c>
      <c r="T82" s="12">
        <f t="shared" si="2"/>
        <v>33038</v>
      </c>
      <c r="U82" s="41"/>
      <c r="V82" s="41"/>
      <c r="W82" s="49">
        <f t="shared" si="3"/>
        <v>33038</v>
      </c>
    </row>
    <row r="83" spans="1:23" ht="29.25">
      <c r="A83" s="234" t="s">
        <v>7</v>
      </c>
      <c r="B83" s="51" t="s">
        <v>741</v>
      </c>
      <c r="C83" s="51" t="s">
        <v>742</v>
      </c>
      <c r="D83" s="56" t="s">
        <v>760</v>
      </c>
      <c r="E83" s="51"/>
      <c r="F83" s="51" t="s">
        <v>744</v>
      </c>
      <c r="G83" s="51" t="s">
        <v>742</v>
      </c>
      <c r="H83" s="640" t="s">
        <v>1184</v>
      </c>
      <c r="I83" s="42">
        <v>70543871</v>
      </c>
      <c r="J83" s="137" t="s">
        <v>149</v>
      </c>
      <c r="K83" s="58">
        <v>8.8</v>
      </c>
      <c r="L83" s="12">
        <f>98098-87260</f>
        <v>10838</v>
      </c>
      <c r="M83" s="41"/>
      <c r="N83" s="41"/>
      <c r="O83" s="49">
        <f t="shared" si="0"/>
        <v>10838</v>
      </c>
      <c r="P83" s="12">
        <f>98098-87260</f>
        <v>10838</v>
      </c>
      <c r="Q83" s="41"/>
      <c r="R83" s="41"/>
      <c r="S83" s="49">
        <f t="shared" si="1"/>
        <v>10838</v>
      </c>
      <c r="T83" s="12">
        <f t="shared" si="2"/>
        <v>21676</v>
      </c>
      <c r="U83" s="41"/>
      <c r="V83" s="41"/>
      <c r="W83" s="49">
        <f t="shared" si="3"/>
        <v>21676</v>
      </c>
    </row>
    <row r="84" spans="1:23" ht="18">
      <c r="A84" s="234" t="s">
        <v>7</v>
      </c>
      <c r="B84" s="51" t="s">
        <v>741</v>
      </c>
      <c r="C84" s="51" t="s">
        <v>742</v>
      </c>
      <c r="D84" s="56" t="s">
        <v>76</v>
      </c>
      <c r="E84" s="51"/>
      <c r="F84" s="51" t="s">
        <v>744</v>
      </c>
      <c r="G84" s="51" t="s">
        <v>742</v>
      </c>
      <c r="H84" s="640" t="s">
        <v>1252</v>
      </c>
      <c r="I84" s="42">
        <v>70522207</v>
      </c>
      <c r="J84" s="137" t="s">
        <v>149</v>
      </c>
      <c r="K84" s="58">
        <v>3.3</v>
      </c>
      <c r="L84" s="12">
        <f>50474-43589</f>
        <v>6885</v>
      </c>
      <c r="M84" s="41"/>
      <c r="N84" s="41"/>
      <c r="O84" s="49">
        <f t="shared" si="0"/>
        <v>6885</v>
      </c>
      <c r="P84" s="12">
        <f>50474-43589</f>
        <v>6885</v>
      </c>
      <c r="Q84" s="41"/>
      <c r="R84" s="41"/>
      <c r="S84" s="49">
        <f t="shared" si="1"/>
        <v>6885</v>
      </c>
      <c r="T84" s="12">
        <f t="shared" si="2"/>
        <v>13770</v>
      </c>
      <c r="U84" s="41"/>
      <c r="V84" s="41"/>
      <c r="W84" s="49">
        <f t="shared" si="3"/>
        <v>13770</v>
      </c>
    </row>
    <row r="85" spans="1:23" ht="29.25">
      <c r="A85" s="234" t="s">
        <v>7</v>
      </c>
      <c r="B85" s="51" t="s">
        <v>741</v>
      </c>
      <c r="C85" s="51" t="s">
        <v>742</v>
      </c>
      <c r="D85" s="56" t="s">
        <v>823</v>
      </c>
      <c r="E85" s="51"/>
      <c r="F85" s="51" t="s">
        <v>744</v>
      </c>
      <c r="G85" s="51" t="s">
        <v>742</v>
      </c>
      <c r="H85" s="640" t="s">
        <v>1261</v>
      </c>
      <c r="I85" s="42">
        <v>12690093</v>
      </c>
      <c r="J85" s="137" t="s">
        <v>149</v>
      </c>
      <c r="K85" s="58">
        <v>5.8</v>
      </c>
      <c r="L85" s="12">
        <f>29076-7000</f>
        <v>22076</v>
      </c>
      <c r="M85" s="41"/>
      <c r="N85" s="41"/>
      <c r="O85" s="49">
        <f aca="true" t="shared" si="4" ref="O85:O135">L85</f>
        <v>22076</v>
      </c>
      <c r="P85" s="12">
        <f>29076-7000</f>
        <v>22076</v>
      </c>
      <c r="Q85" s="41"/>
      <c r="R85" s="41"/>
      <c r="S85" s="49">
        <f aca="true" t="shared" si="5" ref="S85:S135">P85</f>
        <v>22076</v>
      </c>
      <c r="T85" s="12">
        <f aca="true" t="shared" si="6" ref="T85:T135">O85+S85</f>
        <v>44152</v>
      </c>
      <c r="U85" s="41"/>
      <c r="V85" s="41"/>
      <c r="W85" s="49">
        <f aca="true" t="shared" si="7" ref="W85:W135">T85</f>
        <v>44152</v>
      </c>
    </row>
    <row r="86" spans="1:23" ht="18">
      <c r="A86" s="234" t="s">
        <v>7</v>
      </c>
      <c r="B86" s="51" t="s">
        <v>741</v>
      </c>
      <c r="C86" s="51" t="s">
        <v>742</v>
      </c>
      <c r="D86" s="56" t="s">
        <v>1293</v>
      </c>
      <c r="E86" s="51"/>
      <c r="F86" s="51" t="s">
        <v>744</v>
      </c>
      <c r="G86" s="51" t="s">
        <v>742</v>
      </c>
      <c r="H86" s="640" t="s">
        <v>1239</v>
      </c>
      <c r="I86" s="42">
        <v>26206556</v>
      </c>
      <c r="J86" s="137" t="s">
        <v>149</v>
      </c>
      <c r="K86" s="58">
        <v>1.5</v>
      </c>
      <c r="L86" s="12">
        <f>22322-20144</f>
        <v>2178</v>
      </c>
      <c r="M86" s="41"/>
      <c r="N86" s="41"/>
      <c r="O86" s="49">
        <f t="shared" si="4"/>
        <v>2178</v>
      </c>
      <c r="P86" s="12">
        <f>22322-20144</f>
        <v>2178</v>
      </c>
      <c r="Q86" s="41"/>
      <c r="R86" s="41"/>
      <c r="S86" s="49">
        <f t="shared" si="5"/>
        <v>2178</v>
      </c>
      <c r="T86" s="12">
        <f t="shared" si="6"/>
        <v>4356</v>
      </c>
      <c r="U86" s="41"/>
      <c r="V86" s="41"/>
      <c r="W86" s="49">
        <f t="shared" si="7"/>
        <v>4356</v>
      </c>
    </row>
    <row r="87" spans="1:23" ht="43.5">
      <c r="A87" s="234" t="s">
        <v>7</v>
      </c>
      <c r="B87" s="51" t="s">
        <v>741</v>
      </c>
      <c r="C87" s="51" t="s">
        <v>742</v>
      </c>
      <c r="D87" s="56" t="s">
        <v>828</v>
      </c>
      <c r="E87" s="51"/>
      <c r="F87" s="51" t="s">
        <v>744</v>
      </c>
      <c r="G87" s="51" t="s">
        <v>742</v>
      </c>
      <c r="H87" s="640" t="s">
        <v>1266</v>
      </c>
      <c r="I87" s="42">
        <v>9578696</v>
      </c>
      <c r="J87" s="137" t="s">
        <v>149</v>
      </c>
      <c r="K87" s="58">
        <v>23</v>
      </c>
      <c r="L87" s="12">
        <f>119345-107091</f>
        <v>12254</v>
      </c>
      <c r="M87" s="41"/>
      <c r="N87" s="41"/>
      <c r="O87" s="49">
        <f t="shared" si="4"/>
        <v>12254</v>
      </c>
      <c r="P87" s="12">
        <f>119345-107091</f>
        <v>12254</v>
      </c>
      <c r="Q87" s="41"/>
      <c r="R87" s="41"/>
      <c r="S87" s="49">
        <f t="shared" si="5"/>
        <v>12254</v>
      </c>
      <c r="T87" s="12">
        <f t="shared" si="6"/>
        <v>24508</v>
      </c>
      <c r="U87" s="41"/>
      <c r="V87" s="41"/>
      <c r="W87" s="49">
        <f t="shared" si="7"/>
        <v>24508</v>
      </c>
    </row>
    <row r="88" spans="1:23" ht="29.25">
      <c r="A88" s="234" t="s">
        <v>7</v>
      </c>
      <c r="B88" s="51" t="s">
        <v>741</v>
      </c>
      <c r="C88" s="51" t="s">
        <v>742</v>
      </c>
      <c r="D88" s="56" t="s">
        <v>765</v>
      </c>
      <c r="E88" s="51"/>
      <c r="F88" s="51" t="s">
        <v>744</v>
      </c>
      <c r="G88" s="51" t="s">
        <v>742</v>
      </c>
      <c r="H88" s="640" t="s">
        <v>1189</v>
      </c>
      <c r="I88" s="42">
        <v>70691866</v>
      </c>
      <c r="J88" s="137" t="s">
        <v>149</v>
      </c>
      <c r="K88" s="58">
        <v>20</v>
      </c>
      <c r="L88" s="12">
        <f>161585-143761</f>
        <v>17824</v>
      </c>
      <c r="M88" s="41"/>
      <c r="N88" s="41"/>
      <c r="O88" s="49">
        <f t="shared" si="4"/>
        <v>17824</v>
      </c>
      <c r="P88" s="12">
        <f>161585-143761</f>
        <v>17824</v>
      </c>
      <c r="Q88" s="41"/>
      <c r="R88" s="41"/>
      <c r="S88" s="49">
        <f t="shared" si="5"/>
        <v>17824</v>
      </c>
      <c r="T88" s="12">
        <f t="shared" si="6"/>
        <v>35648</v>
      </c>
      <c r="U88" s="41"/>
      <c r="V88" s="41"/>
      <c r="W88" s="49">
        <f t="shared" si="7"/>
        <v>35648</v>
      </c>
    </row>
    <row r="89" spans="1:23" ht="43.5">
      <c r="A89" s="234" t="s">
        <v>7</v>
      </c>
      <c r="B89" s="42" t="s">
        <v>741</v>
      </c>
      <c r="C89" s="42" t="s">
        <v>742</v>
      </c>
      <c r="D89" s="25" t="s">
        <v>799</v>
      </c>
      <c r="E89" s="42"/>
      <c r="F89" s="42" t="s">
        <v>744</v>
      </c>
      <c r="G89" s="42" t="s">
        <v>742</v>
      </c>
      <c r="H89" s="640" t="s">
        <v>1225</v>
      </c>
      <c r="I89" s="42">
        <v>10852706</v>
      </c>
      <c r="J89" s="138" t="s">
        <v>149</v>
      </c>
      <c r="K89" s="44">
        <v>5.8</v>
      </c>
      <c r="L89" s="12">
        <f>126125-109516</f>
        <v>16609</v>
      </c>
      <c r="M89" s="41"/>
      <c r="N89" s="41"/>
      <c r="O89" s="49">
        <f t="shared" si="4"/>
        <v>16609</v>
      </c>
      <c r="P89" s="12">
        <f>126125-109516</f>
        <v>16609</v>
      </c>
      <c r="Q89" s="41"/>
      <c r="R89" s="41"/>
      <c r="S89" s="49">
        <f t="shared" si="5"/>
        <v>16609</v>
      </c>
      <c r="T89" s="12">
        <f t="shared" si="6"/>
        <v>33218</v>
      </c>
      <c r="U89" s="41"/>
      <c r="V89" s="41"/>
      <c r="W89" s="49">
        <f t="shared" si="7"/>
        <v>33218</v>
      </c>
    </row>
    <row r="90" spans="1:23" ht="18">
      <c r="A90" s="234" t="s">
        <v>7</v>
      </c>
      <c r="B90" s="51" t="s">
        <v>741</v>
      </c>
      <c r="C90" s="51" t="s">
        <v>742</v>
      </c>
      <c r="D90" s="56" t="s">
        <v>775</v>
      </c>
      <c r="E90" s="51"/>
      <c r="F90" s="51" t="s">
        <v>744</v>
      </c>
      <c r="G90" s="51" t="s">
        <v>742</v>
      </c>
      <c r="H90" s="640" t="s">
        <v>1199</v>
      </c>
      <c r="I90" s="42">
        <v>317848</v>
      </c>
      <c r="J90" s="137" t="s">
        <v>149</v>
      </c>
      <c r="K90" s="58">
        <v>10</v>
      </c>
      <c r="L90" s="12">
        <f>264096-227857</f>
        <v>36239</v>
      </c>
      <c r="M90" s="41"/>
      <c r="N90" s="41"/>
      <c r="O90" s="49">
        <f t="shared" si="4"/>
        <v>36239</v>
      </c>
      <c r="P90" s="12">
        <f>264096-227857</f>
        <v>36239</v>
      </c>
      <c r="Q90" s="41"/>
      <c r="R90" s="41"/>
      <c r="S90" s="49">
        <f t="shared" si="5"/>
        <v>36239</v>
      </c>
      <c r="T90" s="12">
        <f t="shared" si="6"/>
        <v>72478</v>
      </c>
      <c r="U90" s="41"/>
      <c r="V90" s="41"/>
      <c r="W90" s="49">
        <f t="shared" si="7"/>
        <v>72478</v>
      </c>
    </row>
    <row r="91" spans="1:23" ht="43.5">
      <c r="A91" s="234" t="s">
        <v>7</v>
      </c>
      <c r="B91" s="51" t="s">
        <v>741</v>
      </c>
      <c r="C91" s="51" t="s">
        <v>742</v>
      </c>
      <c r="D91" s="56" t="s">
        <v>753</v>
      </c>
      <c r="E91" s="51"/>
      <c r="F91" s="51" t="s">
        <v>744</v>
      </c>
      <c r="G91" s="51" t="s">
        <v>742</v>
      </c>
      <c r="H91" s="640" t="s">
        <v>1177</v>
      </c>
      <c r="I91" s="42">
        <v>8678099</v>
      </c>
      <c r="J91" s="137" t="s">
        <v>149</v>
      </c>
      <c r="K91" s="58">
        <v>4.8</v>
      </c>
      <c r="L91" s="12">
        <f>62629-57066</f>
        <v>5563</v>
      </c>
      <c r="M91" s="41"/>
      <c r="N91" s="41"/>
      <c r="O91" s="49">
        <f t="shared" si="4"/>
        <v>5563</v>
      </c>
      <c r="P91" s="12">
        <f>62629-57066</f>
        <v>5563</v>
      </c>
      <c r="Q91" s="41"/>
      <c r="R91" s="41"/>
      <c r="S91" s="49">
        <f t="shared" si="5"/>
        <v>5563</v>
      </c>
      <c r="T91" s="12">
        <f t="shared" si="6"/>
        <v>11126</v>
      </c>
      <c r="U91" s="41"/>
      <c r="V91" s="41"/>
      <c r="W91" s="49">
        <f t="shared" si="7"/>
        <v>11126</v>
      </c>
    </row>
    <row r="92" spans="1:23" ht="29.25">
      <c r="A92" s="234" t="s">
        <v>7</v>
      </c>
      <c r="B92" s="51" t="s">
        <v>741</v>
      </c>
      <c r="C92" s="51" t="s">
        <v>742</v>
      </c>
      <c r="D92" s="56" t="s">
        <v>1288</v>
      </c>
      <c r="E92" s="51"/>
      <c r="F92" s="51" t="s">
        <v>744</v>
      </c>
      <c r="G92" s="51" t="s">
        <v>742</v>
      </c>
      <c r="H92" s="640" t="s">
        <v>1234</v>
      </c>
      <c r="I92" s="42">
        <v>356785</v>
      </c>
      <c r="J92" s="137" t="s">
        <v>149</v>
      </c>
      <c r="K92" s="58">
        <v>2.5</v>
      </c>
      <c r="L92" s="12">
        <f>54951-47428</f>
        <v>7523</v>
      </c>
      <c r="M92" s="41"/>
      <c r="N92" s="41"/>
      <c r="O92" s="49">
        <f t="shared" si="4"/>
        <v>7523</v>
      </c>
      <c r="P92" s="12">
        <f>54951-47428</f>
        <v>7523</v>
      </c>
      <c r="Q92" s="41"/>
      <c r="R92" s="41"/>
      <c r="S92" s="49">
        <f t="shared" si="5"/>
        <v>7523</v>
      </c>
      <c r="T92" s="12">
        <f t="shared" si="6"/>
        <v>15046</v>
      </c>
      <c r="U92" s="41"/>
      <c r="V92" s="41"/>
      <c r="W92" s="49">
        <f t="shared" si="7"/>
        <v>15046</v>
      </c>
    </row>
    <row r="93" spans="1:23" ht="29.25">
      <c r="A93" s="234" t="s">
        <v>7</v>
      </c>
      <c r="B93" s="51" t="s">
        <v>741</v>
      </c>
      <c r="C93" s="51" t="s">
        <v>742</v>
      </c>
      <c r="D93" s="56" t="s">
        <v>751</v>
      </c>
      <c r="E93" s="51"/>
      <c r="F93" s="51" t="s">
        <v>744</v>
      </c>
      <c r="G93" s="51" t="s">
        <v>742</v>
      </c>
      <c r="H93" s="640" t="s">
        <v>1172</v>
      </c>
      <c r="I93" s="42">
        <v>70748129</v>
      </c>
      <c r="J93" s="137" t="s">
        <v>149</v>
      </c>
      <c r="K93" s="58">
        <v>4.5</v>
      </c>
      <c r="L93" s="12">
        <f>182286-163380</f>
        <v>18906</v>
      </c>
      <c r="M93" s="41"/>
      <c r="N93" s="41"/>
      <c r="O93" s="49">
        <f t="shared" si="4"/>
        <v>18906</v>
      </c>
      <c r="P93" s="12">
        <f>182286-163380</f>
        <v>18906</v>
      </c>
      <c r="Q93" s="41"/>
      <c r="R93" s="41"/>
      <c r="S93" s="49">
        <f t="shared" si="5"/>
        <v>18906</v>
      </c>
      <c r="T93" s="12">
        <f t="shared" si="6"/>
        <v>37812</v>
      </c>
      <c r="U93" s="41"/>
      <c r="V93" s="41"/>
      <c r="W93" s="49">
        <f t="shared" si="7"/>
        <v>37812</v>
      </c>
    </row>
    <row r="94" spans="1:23" ht="18">
      <c r="A94" s="234" t="s">
        <v>7</v>
      </c>
      <c r="B94" s="51" t="s">
        <v>741</v>
      </c>
      <c r="C94" s="51" t="s">
        <v>742</v>
      </c>
      <c r="D94" s="56" t="s">
        <v>764</v>
      </c>
      <c r="E94" s="51"/>
      <c r="F94" s="51" t="s">
        <v>744</v>
      </c>
      <c r="G94" s="51" t="s">
        <v>742</v>
      </c>
      <c r="H94" s="640" t="s">
        <v>1188</v>
      </c>
      <c r="I94" s="42">
        <v>90102597</v>
      </c>
      <c r="J94" s="137" t="s">
        <v>149</v>
      </c>
      <c r="K94" s="58">
        <v>7.5</v>
      </c>
      <c r="L94" s="12">
        <f>67333-53771</f>
        <v>13562</v>
      </c>
      <c r="M94" s="41"/>
      <c r="N94" s="41"/>
      <c r="O94" s="49">
        <f t="shared" si="4"/>
        <v>13562</v>
      </c>
      <c r="P94" s="12">
        <f>67333-53771</f>
        <v>13562</v>
      </c>
      <c r="Q94" s="41"/>
      <c r="R94" s="41"/>
      <c r="S94" s="49">
        <f t="shared" si="5"/>
        <v>13562</v>
      </c>
      <c r="T94" s="12">
        <f t="shared" si="6"/>
        <v>27124</v>
      </c>
      <c r="U94" s="41"/>
      <c r="V94" s="41"/>
      <c r="W94" s="49">
        <f t="shared" si="7"/>
        <v>27124</v>
      </c>
    </row>
    <row r="95" spans="1:23" ht="18">
      <c r="A95" s="234" t="s">
        <v>7</v>
      </c>
      <c r="B95" s="51" t="s">
        <v>741</v>
      </c>
      <c r="C95" s="51" t="s">
        <v>742</v>
      </c>
      <c r="D95" s="56" t="s">
        <v>793</v>
      </c>
      <c r="E95" s="51"/>
      <c r="F95" s="51" t="s">
        <v>744</v>
      </c>
      <c r="G95" s="51" t="s">
        <v>742</v>
      </c>
      <c r="H95" s="640" t="s">
        <v>1217</v>
      </c>
      <c r="I95" s="42">
        <v>314487</v>
      </c>
      <c r="J95" s="137" t="s">
        <v>149</v>
      </c>
      <c r="K95" s="58">
        <v>3.8</v>
      </c>
      <c r="L95" s="12">
        <f>79652-68464</f>
        <v>11188</v>
      </c>
      <c r="M95" s="41"/>
      <c r="N95" s="41"/>
      <c r="O95" s="49">
        <f t="shared" si="4"/>
        <v>11188</v>
      </c>
      <c r="P95" s="12">
        <f>79652-68464</f>
        <v>11188</v>
      </c>
      <c r="Q95" s="41"/>
      <c r="R95" s="41"/>
      <c r="S95" s="49">
        <f t="shared" si="5"/>
        <v>11188</v>
      </c>
      <c r="T95" s="12">
        <f t="shared" si="6"/>
        <v>22376</v>
      </c>
      <c r="U95" s="41"/>
      <c r="V95" s="41"/>
      <c r="W95" s="49">
        <f t="shared" si="7"/>
        <v>22376</v>
      </c>
    </row>
    <row r="96" spans="1:23" ht="29.25">
      <c r="A96" s="234" t="s">
        <v>7</v>
      </c>
      <c r="B96" s="51" t="s">
        <v>741</v>
      </c>
      <c r="C96" s="51" t="s">
        <v>742</v>
      </c>
      <c r="D96" s="56" t="s">
        <v>814</v>
      </c>
      <c r="E96" s="51"/>
      <c r="F96" s="51" t="s">
        <v>744</v>
      </c>
      <c r="G96" s="51" t="s">
        <v>742</v>
      </c>
      <c r="H96" s="640" t="s">
        <v>1250</v>
      </c>
      <c r="I96" s="42">
        <v>356788</v>
      </c>
      <c r="J96" s="137" t="s">
        <v>149</v>
      </c>
      <c r="K96" s="58">
        <v>6</v>
      </c>
      <c r="L96" s="12">
        <f>130647-114303</f>
        <v>16344</v>
      </c>
      <c r="M96" s="41"/>
      <c r="N96" s="41"/>
      <c r="O96" s="49">
        <f t="shared" si="4"/>
        <v>16344</v>
      </c>
      <c r="P96" s="12">
        <f>130647-114303</f>
        <v>16344</v>
      </c>
      <c r="Q96" s="41"/>
      <c r="R96" s="41"/>
      <c r="S96" s="49">
        <f t="shared" si="5"/>
        <v>16344</v>
      </c>
      <c r="T96" s="12">
        <f t="shared" si="6"/>
        <v>32688</v>
      </c>
      <c r="U96" s="41"/>
      <c r="V96" s="41"/>
      <c r="W96" s="49">
        <f t="shared" si="7"/>
        <v>32688</v>
      </c>
    </row>
    <row r="97" spans="1:23" ht="29.25">
      <c r="A97" s="234" t="s">
        <v>7</v>
      </c>
      <c r="B97" s="51" t="s">
        <v>741</v>
      </c>
      <c r="C97" s="51" t="s">
        <v>742</v>
      </c>
      <c r="D97" s="56" t="s">
        <v>782</v>
      </c>
      <c r="E97" s="51"/>
      <c r="F97" s="51" t="s">
        <v>744</v>
      </c>
      <c r="G97" s="51" t="s">
        <v>742</v>
      </c>
      <c r="H97" s="640" t="s">
        <v>1206</v>
      </c>
      <c r="I97" s="42">
        <v>91066939</v>
      </c>
      <c r="J97" s="137" t="s">
        <v>149</v>
      </c>
      <c r="K97" s="58">
        <v>8.7</v>
      </c>
      <c r="L97" s="12">
        <f>52527-38338</f>
        <v>14189</v>
      </c>
      <c r="M97" s="41"/>
      <c r="N97" s="41"/>
      <c r="O97" s="49">
        <f t="shared" si="4"/>
        <v>14189</v>
      </c>
      <c r="P97" s="12">
        <f>52527-38338</f>
        <v>14189</v>
      </c>
      <c r="Q97" s="41"/>
      <c r="R97" s="41"/>
      <c r="S97" s="49">
        <f t="shared" si="5"/>
        <v>14189</v>
      </c>
      <c r="T97" s="12">
        <f t="shared" si="6"/>
        <v>28378</v>
      </c>
      <c r="U97" s="41"/>
      <c r="V97" s="41"/>
      <c r="W97" s="49">
        <f t="shared" si="7"/>
        <v>28378</v>
      </c>
    </row>
    <row r="98" spans="1:23" ht="29.25">
      <c r="A98" s="234" t="s">
        <v>7</v>
      </c>
      <c r="B98" s="51" t="s">
        <v>741</v>
      </c>
      <c r="C98" s="51" t="s">
        <v>742</v>
      </c>
      <c r="D98" s="56" t="s">
        <v>807</v>
      </c>
      <c r="E98" s="51"/>
      <c r="F98" s="51" t="s">
        <v>744</v>
      </c>
      <c r="G98" s="51" t="s">
        <v>742</v>
      </c>
      <c r="H98" s="640" t="s">
        <v>1248</v>
      </c>
      <c r="I98" s="42">
        <v>357155</v>
      </c>
      <c r="J98" s="137" t="s">
        <v>149</v>
      </c>
      <c r="K98" s="58">
        <v>5.2</v>
      </c>
      <c r="L98" s="12">
        <f>145739-123660</f>
        <v>22079</v>
      </c>
      <c r="M98" s="41"/>
      <c r="N98" s="41"/>
      <c r="O98" s="49">
        <f t="shared" si="4"/>
        <v>22079</v>
      </c>
      <c r="P98" s="12">
        <f>145739-123660</f>
        <v>22079</v>
      </c>
      <c r="Q98" s="41"/>
      <c r="R98" s="41"/>
      <c r="S98" s="49">
        <f t="shared" si="5"/>
        <v>22079</v>
      </c>
      <c r="T98" s="12">
        <f t="shared" si="6"/>
        <v>44158</v>
      </c>
      <c r="U98" s="41"/>
      <c r="V98" s="41"/>
      <c r="W98" s="49">
        <f t="shared" si="7"/>
        <v>44158</v>
      </c>
    </row>
    <row r="99" spans="1:23" ht="29.25">
      <c r="A99" s="234" t="s">
        <v>7</v>
      </c>
      <c r="B99" s="51" t="s">
        <v>741</v>
      </c>
      <c r="C99" s="51" t="s">
        <v>742</v>
      </c>
      <c r="D99" s="56" t="s">
        <v>767</v>
      </c>
      <c r="E99" s="51"/>
      <c r="F99" s="51" t="s">
        <v>744</v>
      </c>
      <c r="G99" s="51" t="s">
        <v>742</v>
      </c>
      <c r="H99" s="640" t="s">
        <v>1191</v>
      </c>
      <c r="I99" s="42">
        <v>356781</v>
      </c>
      <c r="J99" s="137" t="s">
        <v>149</v>
      </c>
      <c r="K99" s="58">
        <v>10</v>
      </c>
      <c r="L99" s="12">
        <f>78176-67305</f>
        <v>10871</v>
      </c>
      <c r="M99" s="41"/>
      <c r="N99" s="41"/>
      <c r="O99" s="49">
        <f t="shared" si="4"/>
        <v>10871</v>
      </c>
      <c r="P99" s="12">
        <f>78176-67305</f>
        <v>10871</v>
      </c>
      <c r="Q99" s="41"/>
      <c r="R99" s="41"/>
      <c r="S99" s="49">
        <f t="shared" si="5"/>
        <v>10871</v>
      </c>
      <c r="T99" s="12">
        <f t="shared" si="6"/>
        <v>21742</v>
      </c>
      <c r="U99" s="41"/>
      <c r="V99" s="41"/>
      <c r="W99" s="49">
        <f t="shared" si="7"/>
        <v>21742</v>
      </c>
    </row>
    <row r="100" spans="1:23" ht="29.25">
      <c r="A100" s="234" t="s">
        <v>7</v>
      </c>
      <c r="B100" s="51" t="s">
        <v>741</v>
      </c>
      <c r="C100" s="51" t="s">
        <v>742</v>
      </c>
      <c r="D100" s="56" t="s">
        <v>785</v>
      </c>
      <c r="E100" s="51"/>
      <c r="F100" s="51" t="s">
        <v>744</v>
      </c>
      <c r="G100" s="51" t="s">
        <v>742</v>
      </c>
      <c r="H100" s="640" t="s">
        <v>1209</v>
      </c>
      <c r="I100" s="42">
        <v>320136</v>
      </c>
      <c r="J100" s="137" t="s">
        <v>149</v>
      </c>
      <c r="K100" s="58">
        <v>6</v>
      </c>
      <c r="L100" s="12">
        <f>114076-95977</f>
        <v>18099</v>
      </c>
      <c r="M100" s="41"/>
      <c r="N100" s="41"/>
      <c r="O100" s="49">
        <f t="shared" si="4"/>
        <v>18099</v>
      </c>
      <c r="P100" s="12">
        <f>114076-95977</f>
        <v>18099</v>
      </c>
      <c r="Q100" s="41"/>
      <c r="R100" s="41"/>
      <c r="S100" s="49">
        <f t="shared" si="5"/>
        <v>18099</v>
      </c>
      <c r="T100" s="12">
        <f t="shared" si="6"/>
        <v>36198</v>
      </c>
      <c r="U100" s="41"/>
      <c r="V100" s="41"/>
      <c r="W100" s="49">
        <f t="shared" si="7"/>
        <v>36198</v>
      </c>
    </row>
    <row r="101" spans="1:23" ht="29.25">
      <c r="A101" s="234" t="s">
        <v>7</v>
      </c>
      <c r="B101" s="51" t="s">
        <v>741</v>
      </c>
      <c r="C101" s="51" t="s">
        <v>742</v>
      </c>
      <c r="D101" s="56" t="s">
        <v>761</v>
      </c>
      <c r="E101" s="51"/>
      <c r="F101" s="51" t="s">
        <v>744</v>
      </c>
      <c r="G101" s="51" t="s">
        <v>742</v>
      </c>
      <c r="H101" s="640" t="s">
        <v>1185</v>
      </c>
      <c r="I101" s="42">
        <v>90103851</v>
      </c>
      <c r="J101" s="137" t="s">
        <v>149</v>
      </c>
      <c r="K101" s="58">
        <v>7</v>
      </c>
      <c r="L101" s="12">
        <f>35917-28836</f>
        <v>7081</v>
      </c>
      <c r="M101" s="41"/>
      <c r="N101" s="41"/>
      <c r="O101" s="49">
        <f t="shared" si="4"/>
        <v>7081</v>
      </c>
      <c r="P101" s="12">
        <f>35917-28836</f>
        <v>7081</v>
      </c>
      <c r="Q101" s="41"/>
      <c r="R101" s="41"/>
      <c r="S101" s="49">
        <f t="shared" si="5"/>
        <v>7081</v>
      </c>
      <c r="T101" s="12">
        <f t="shared" si="6"/>
        <v>14162</v>
      </c>
      <c r="U101" s="41"/>
      <c r="V101" s="41"/>
      <c r="W101" s="49">
        <f t="shared" si="7"/>
        <v>14162</v>
      </c>
    </row>
    <row r="102" spans="1:23" ht="18">
      <c r="A102" s="234" t="s">
        <v>7</v>
      </c>
      <c r="B102" s="51" t="s">
        <v>741</v>
      </c>
      <c r="C102" s="51" t="s">
        <v>742</v>
      </c>
      <c r="D102" s="56" t="s">
        <v>783</v>
      </c>
      <c r="E102" s="51"/>
      <c r="F102" s="51" t="s">
        <v>744</v>
      </c>
      <c r="G102" s="51" t="s">
        <v>742</v>
      </c>
      <c r="H102" s="640" t="s">
        <v>1207</v>
      </c>
      <c r="I102" s="42">
        <v>317855</v>
      </c>
      <c r="J102" s="137" t="s">
        <v>149</v>
      </c>
      <c r="K102" s="58">
        <v>20</v>
      </c>
      <c r="L102" s="12">
        <f>76321-66344</f>
        <v>9977</v>
      </c>
      <c r="M102" s="41"/>
      <c r="N102" s="41"/>
      <c r="O102" s="49">
        <f t="shared" si="4"/>
        <v>9977</v>
      </c>
      <c r="P102" s="12">
        <f>76321-66344</f>
        <v>9977</v>
      </c>
      <c r="Q102" s="41"/>
      <c r="R102" s="41"/>
      <c r="S102" s="49">
        <f t="shared" si="5"/>
        <v>9977</v>
      </c>
      <c r="T102" s="12">
        <f t="shared" si="6"/>
        <v>19954</v>
      </c>
      <c r="U102" s="41"/>
      <c r="V102" s="41"/>
      <c r="W102" s="49">
        <f t="shared" si="7"/>
        <v>19954</v>
      </c>
    </row>
    <row r="103" spans="1:23" ht="18">
      <c r="A103" s="234" t="s">
        <v>7</v>
      </c>
      <c r="B103" s="51" t="s">
        <v>741</v>
      </c>
      <c r="C103" s="51" t="s">
        <v>742</v>
      </c>
      <c r="D103" s="56" t="s">
        <v>815</v>
      </c>
      <c r="E103" s="51"/>
      <c r="F103" s="51" t="s">
        <v>744</v>
      </c>
      <c r="G103" s="51" t="s">
        <v>742</v>
      </c>
      <c r="H103" s="640" t="s">
        <v>1251</v>
      </c>
      <c r="I103" s="42">
        <v>70652793</v>
      </c>
      <c r="J103" s="137" t="s">
        <v>149</v>
      </c>
      <c r="K103" s="58">
        <v>6.8</v>
      </c>
      <c r="L103" s="12">
        <f>86339-80130</f>
        <v>6209</v>
      </c>
      <c r="M103" s="41"/>
      <c r="N103" s="41"/>
      <c r="O103" s="49">
        <f t="shared" si="4"/>
        <v>6209</v>
      </c>
      <c r="P103" s="12">
        <f>86339-80130</f>
        <v>6209</v>
      </c>
      <c r="Q103" s="41"/>
      <c r="R103" s="41"/>
      <c r="S103" s="49">
        <f t="shared" si="5"/>
        <v>6209</v>
      </c>
      <c r="T103" s="12">
        <f t="shared" si="6"/>
        <v>12418</v>
      </c>
      <c r="U103" s="41"/>
      <c r="V103" s="41"/>
      <c r="W103" s="49">
        <f t="shared" si="7"/>
        <v>12418</v>
      </c>
    </row>
    <row r="104" spans="1:23" ht="43.5">
      <c r="A104" s="234" t="s">
        <v>7</v>
      </c>
      <c r="B104" s="51" t="s">
        <v>741</v>
      </c>
      <c r="C104" s="51" t="s">
        <v>742</v>
      </c>
      <c r="D104" s="56" t="s">
        <v>1290</v>
      </c>
      <c r="E104" s="51"/>
      <c r="F104" s="51" t="s">
        <v>744</v>
      </c>
      <c r="G104" s="51" t="s">
        <v>742</v>
      </c>
      <c r="H104" s="640" t="s">
        <v>1236</v>
      </c>
      <c r="I104" s="42">
        <v>357231</v>
      </c>
      <c r="J104" s="137" t="s">
        <v>149</v>
      </c>
      <c r="K104" s="58">
        <v>5.8</v>
      </c>
      <c r="L104" s="12">
        <f>70606-60247</f>
        <v>10359</v>
      </c>
      <c r="M104" s="41"/>
      <c r="N104" s="41"/>
      <c r="O104" s="49">
        <f t="shared" si="4"/>
        <v>10359</v>
      </c>
      <c r="P104" s="12">
        <f>70606-60247</f>
        <v>10359</v>
      </c>
      <c r="Q104" s="41"/>
      <c r="R104" s="41"/>
      <c r="S104" s="49">
        <f t="shared" si="5"/>
        <v>10359</v>
      </c>
      <c r="T104" s="12">
        <f t="shared" si="6"/>
        <v>20718</v>
      </c>
      <c r="U104" s="41"/>
      <c r="V104" s="41"/>
      <c r="W104" s="49">
        <f t="shared" si="7"/>
        <v>20718</v>
      </c>
    </row>
    <row r="105" spans="1:23" ht="29.25">
      <c r="A105" s="234" t="s">
        <v>7</v>
      </c>
      <c r="B105" s="51" t="s">
        <v>741</v>
      </c>
      <c r="C105" s="51" t="s">
        <v>742</v>
      </c>
      <c r="D105" s="56" t="s">
        <v>822</v>
      </c>
      <c r="E105" s="51"/>
      <c r="F105" s="51" t="s">
        <v>744</v>
      </c>
      <c r="G105" s="51" t="s">
        <v>742</v>
      </c>
      <c r="H105" s="640" t="s">
        <v>1259</v>
      </c>
      <c r="I105" s="42">
        <v>12541662</v>
      </c>
      <c r="J105" s="137" t="s">
        <v>149</v>
      </c>
      <c r="K105" s="58">
        <v>7.5</v>
      </c>
      <c r="L105" s="12">
        <f>15781-3491</f>
        <v>12290</v>
      </c>
      <c r="M105" s="41"/>
      <c r="N105" s="41"/>
      <c r="O105" s="49">
        <f t="shared" si="4"/>
        <v>12290</v>
      </c>
      <c r="P105" s="12">
        <f>15781-3491</f>
        <v>12290</v>
      </c>
      <c r="Q105" s="41"/>
      <c r="R105" s="41"/>
      <c r="S105" s="49">
        <f t="shared" si="5"/>
        <v>12290</v>
      </c>
      <c r="T105" s="12">
        <f t="shared" si="6"/>
        <v>24580</v>
      </c>
      <c r="U105" s="41"/>
      <c r="V105" s="41"/>
      <c r="W105" s="49">
        <f t="shared" si="7"/>
        <v>24580</v>
      </c>
    </row>
    <row r="106" spans="1:23" ht="29.25">
      <c r="A106" s="234" t="s">
        <v>7</v>
      </c>
      <c r="B106" s="51" t="s">
        <v>741</v>
      </c>
      <c r="C106" s="51" t="s">
        <v>742</v>
      </c>
      <c r="D106" s="56" t="s">
        <v>813</v>
      </c>
      <c r="E106" s="51"/>
      <c r="F106" s="51" t="s">
        <v>744</v>
      </c>
      <c r="G106" s="51" t="s">
        <v>742</v>
      </c>
      <c r="H106" s="640" t="s">
        <v>1247</v>
      </c>
      <c r="I106" s="42">
        <v>357153</v>
      </c>
      <c r="J106" s="137" t="s">
        <v>149</v>
      </c>
      <c r="K106" s="58">
        <v>4.3</v>
      </c>
      <c r="L106" s="12">
        <f>40715-36412</f>
        <v>4303</v>
      </c>
      <c r="M106" s="41"/>
      <c r="N106" s="41"/>
      <c r="O106" s="49">
        <f t="shared" si="4"/>
        <v>4303</v>
      </c>
      <c r="P106" s="12">
        <f>40715-36412</f>
        <v>4303</v>
      </c>
      <c r="Q106" s="41"/>
      <c r="R106" s="41"/>
      <c r="S106" s="49">
        <f t="shared" si="5"/>
        <v>4303</v>
      </c>
      <c r="T106" s="12">
        <f t="shared" si="6"/>
        <v>8606</v>
      </c>
      <c r="U106" s="41"/>
      <c r="V106" s="41"/>
      <c r="W106" s="49">
        <f t="shared" si="7"/>
        <v>8606</v>
      </c>
    </row>
    <row r="107" spans="1:23" ht="18">
      <c r="A107" s="234" t="s">
        <v>7</v>
      </c>
      <c r="B107" s="51" t="s">
        <v>741</v>
      </c>
      <c r="C107" s="51" t="s">
        <v>742</v>
      </c>
      <c r="D107" s="56" t="s">
        <v>752</v>
      </c>
      <c r="E107" s="51"/>
      <c r="F107" s="51" t="s">
        <v>744</v>
      </c>
      <c r="G107" s="51" t="s">
        <v>742</v>
      </c>
      <c r="H107" s="640" t="s">
        <v>1176</v>
      </c>
      <c r="I107" s="42">
        <v>70529708</v>
      </c>
      <c r="J107" s="137" t="s">
        <v>149</v>
      </c>
      <c r="K107" s="58">
        <v>2</v>
      </c>
      <c r="L107" s="12">
        <f>53644-46111</f>
        <v>7533</v>
      </c>
      <c r="M107" s="41"/>
      <c r="N107" s="41"/>
      <c r="O107" s="49">
        <f t="shared" si="4"/>
        <v>7533</v>
      </c>
      <c r="P107" s="12">
        <f>53644-46111</f>
        <v>7533</v>
      </c>
      <c r="Q107" s="41"/>
      <c r="R107" s="41"/>
      <c r="S107" s="49">
        <f t="shared" si="5"/>
        <v>7533</v>
      </c>
      <c r="T107" s="12">
        <f t="shared" si="6"/>
        <v>15066</v>
      </c>
      <c r="U107" s="41"/>
      <c r="V107" s="41"/>
      <c r="W107" s="49">
        <f t="shared" si="7"/>
        <v>15066</v>
      </c>
    </row>
    <row r="108" spans="1:23" ht="29.25">
      <c r="A108" s="234" t="s">
        <v>7</v>
      </c>
      <c r="B108" s="51" t="s">
        <v>741</v>
      </c>
      <c r="C108" s="51" t="s">
        <v>742</v>
      </c>
      <c r="D108" s="56" t="s">
        <v>795</v>
      </c>
      <c r="E108" s="51"/>
      <c r="F108" s="51" t="s">
        <v>744</v>
      </c>
      <c r="G108" s="51" t="s">
        <v>742</v>
      </c>
      <c r="H108" s="640" t="s">
        <v>1219</v>
      </c>
      <c r="I108" s="42">
        <v>95800007</v>
      </c>
      <c r="J108" s="137" t="s">
        <v>149</v>
      </c>
      <c r="K108" s="58">
        <v>2</v>
      </c>
      <c r="L108" s="12">
        <f>76523-60407</f>
        <v>16116</v>
      </c>
      <c r="M108" s="41"/>
      <c r="N108" s="41"/>
      <c r="O108" s="49">
        <f t="shared" si="4"/>
        <v>16116</v>
      </c>
      <c r="P108" s="12">
        <f>76523-60407</f>
        <v>16116</v>
      </c>
      <c r="Q108" s="41"/>
      <c r="R108" s="41"/>
      <c r="S108" s="49">
        <f t="shared" si="5"/>
        <v>16116</v>
      </c>
      <c r="T108" s="12">
        <f t="shared" si="6"/>
        <v>32232</v>
      </c>
      <c r="U108" s="41"/>
      <c r="V108" s="41"/>
      <c r="W108" s="49">
        <f t="shared" si="7"/>
        <v>32232</v>
      </c>
    </row>
    <row r="109" spans="1:23" ht="43.5">
      <c r="A109" s="234" t="s">
        <v>7</v>
      </c>
      <c r="B109" s="51" t="s">
        <v>741</v>
      </c>
      <c r="C109" s="51" t="s">
        <v>742</v>
      </c>
      <c r="D109" s="56" t="s">
        <v>802</v>
      </c>
      <c r="E109" s="51"/>
      <c r="F109" s="51" t="s">
        <v>744</v>
      </c>
      <c r="G109" s="51" t="s">
        <v>742</v>
      </c>
      <c r="H109" s="640" t="s">
        <v>1230</v>
      </c>
      <c r="I109" s="42">
        <v>226244</v>
      </c>
      <c r="J109" s="137" t="s">
        <v>149</v>
      </c>
      <c r="K109" s="58">
        <v>5.8</v>
      </c>
      <c r="L109" s="12">
        <f>52591-44109</f>
        <v>8482</v>
      </c>
      <c r="M109" s="41"/>
      <c r="N109" s="41"/>
      <c r="O109" s="49">
        <f t="shared" si="4"/>
        <v>8482</v>
      </c>
      <c r="P109" s="12">
        <f>52591-44109</f>
        <v>8482</v>
      </c>
      <c r="Q109" s="41"/>
      <c r="R109" s="41"/>
      <c r="S109" s="49">
        <f t="shared" si="5"/>
        <v>8482</v>
      </c>
      <c r="T109" s="12">
        <f t="shared" si="6"/>
        <v>16964</v>
      </c>
      <c r="U109" s="41"/>
      <c r="V109" s="41"/>
      <c r="W109" s="49">
        <f t="shared" si="7"/>
        <v>16964</v>
      </c>
    </row>
    <row r="110" spans="1:23" ht="29.25">
      <c r="A110" s="234" t="s">
        <v>7</v>
      </c>
      <c r="B110" s="51" t="s">
        <v>741</v>
      </c>
      <c r="C110" s="51" t="s">
        <v>742</v>
      </c>
      <c r="D110" s="56" t="s">
        <v>771</v>
      </c>
      <c r="E110" s="51"/>
      <c r="F110" s="51" t="s">
        <v>744</v>
      </c>
      <c r="G110" s="51" t="s">
        <v>742</v>
      </c>
      <c r="H110" s="640" t="s">
        <v>1195</v>
      </c>
      <c r="I110" s="42">
        <v>357158</v>
      </c>
      <c r="J110" s="137" t="s">
        <v>149</v>
      </c>
      <c r="K110" s="58">
        <v>5.4</v>
      </c>
      <c r="L110" s="12">
        <f>101227-85997</f>
        <v>15230</v>
      </c>
      <c r="M110" s="41"/>
      <c r="N110" s="41"/>
      <c r="O110" s="49">
        <f t="shared" si="4"/>
        <v>15230</v>
      </c>
      <c r="P110" s="12">
        <f>101227-85997</f>
        <v>15230</v>
      </c>
      <c r="Q110" s="41"/>
      <c r="R110" s="41"/>
      <c r="S110" s="49">
        <f t="shared" si="5"/>
        <v>15230</v>
      </c>
      <c r="T110" s="12">
        <f t="shared" si="6"/>
        <v>30460</v>
      </c>
      <c r="U110" s="41"/>
      <c r="V110" s="41"/>
      <c r="W110" s="49">
        <f t="shared" si="7"/>
        <v>30460</v>
      </c>
    </row>
    <row r="111" spans="1:23" ht="29.25">
      <c r="A111" s="234" t="s">
        <v>7</v>
      </c>
      <c r="B111" s="51" t="s">
        <v>741</v>
      </c>
      <c r="C111" s="51" t="s">
        <v>742</v>
      </c>
      <c r="D111" s="56" t="s">
        <v>791</v>
      </c>
      <c r="E111" s="51"/>
      <c r="F111" s="51" t="s">
        <v>744</v>
      </c>
      <c r="G111" s="51" t="s">
        <v>742</v>
      </c>
      <c r="H111" s="640" t="s">
        <v>1215</v>
      </c>
      <c r="I111" s="42">
        <v>7445717</v>
      </c>
      <c r="J111" s="137" t="s">
        <v>149</v>
      </c>
      <c r="K111" s="58">
        <v>3</v>
      </c>
      <c r="L111" s="12">
        <f>181564-168704</f>
        <v>12860</v>
      </c>
      <c r="M111" s="41"/>
      <c r="N111" s="41"/>
      <c r="O111" s="49">
        <f t="shared" si="4"/>
        <v>12860</v>
      </c>
      <c r="P111" s="12">
        <f>181564-168704</f>
        <v>12860</v>
      </c>
      <c r="Q111" s="41"/>
      <c r="R111" s="41"/>
      <c r="S111" s="49">
        <f t="shared" si="5"/>
        <v>12860</v>
      </c>
      <c r="T111" s="12">
        <f t="shared" si="6"/>
        <v>25720</v>
      </c>
      <c r="U111" s="41"/>
      <c r="V111" s="41"/>
      <c r="W111" s="49">
        <f t="shared" si="7"/>
        <v>25720</v>
      </c>
    </row>
    <row r="112" spans="1:23" ht="29.25">
      <c r="A112" s="234" t="s">
        <v>7</v>
      </c>
      <c r="B112" s="51" t="s">
        <v>741</v>
      </c>
      <c r="C112" s="51" t="s">
        <v>742</v>
      </c>
      <c r="D112" s="56" t="s">
        <v>1292</v>
      </c>
      <c r="E112" s="51"/>
      <c r="F112" s="51" t="s">
        <v>744</v>
      </c>
      <c r="G112" s="51" t="s">
        <v>742</v>
      </c>
      <c r="H112" s="640" t="s">
        <v>1238</v>
      </c>
      <c r="I112" s="42">
        <v>356782</v>
      </c>
      <c r="J112" s="137" t="s">
        <v>149</v>
      </c>
      <c r="K112" s="58">
        <v>9.8</v>
      </c>
      <c r="L112" s="12">
        <f>77548-66473</f>
        <v>11075</v>
      </c>
      <c r="M112" s="41"/>
      <c r="N112" s="41"/>
      <c r="O112" s="49">
        <f t="shared" si="4"/>
        <v>11075</v>
      </c>
      <c r="P112" s="12">
        <f>77548-66473</f>
        <v>11075</v>
      </c>
      <c r="Q112" s="41"/>
      <c r="R112" s="41"/>
      <c r="S112" s="49">
        <f t="shared" si="5"/>
        <v>11075</v>
      </c>
      <c r="T112" s="12">
        <f t="shared" si="6"/>
        <v>22150</v>
      </c>
      <c r="U112" s="41"/>
      <c r="V112" s="41"/>
      <c r="W112" s="49">
        <f t="shared" si="7"/>
        <v>22150</v>
      </c>
    </row>
    <row r="113" spans="1:23" ht="43.5">
      <c r="A113" s="234" t="s">
        <v>7</v>
      </c>
      <c r="B113" s="51" t="s">
        <v>741</v>
      </c>
      <c r="C113" s="51" t="s">
        <v>742</v>
      </c>
      <c r="D113" s="56" t="s">
        <v>747</v>
      </c>
      <c r="E113" s="51"/>
      <c r="F113" s="51" t="s">
        <v>744</v>
      </c>
      <c r="G113" s="51" t="s">
        <v>742</v>
      </c>
      <c r="H113" s="640" t="s">
        <v>1167</v>
      </c>
      <c r="I113" s="42">
        <v>356783</v>
      </c>
      <c r="J113" s="137" t="s">
        <v>149</v>
      </c>
      <c r="K113" s="58">
        <v>4.5</v>
      </c>
      <c r="L113" s="12">
        <f>352771-305104</f>
        <v>47667</v>
      </c>
      <c r="M113" s="41"/>
      <c r="N113" s="41"/>
      <c r="O113" s="49">
        <f t="shared" si="4"/>
        <v>47667</v>
      </c>
      <c r="P113" s="12">
        <f>352771-305104</f>
        <v>47667</v>
      </c>
      <c r="Q113" s="41"/>
      <c r="R113" s="41"/>
      <c r="S113" s="49">
        <f t="shared" si="5"/>
        <v>47667</v>
      </c>
      <c r="T113" s="12">
        <f t="shared" si="6"/>
        <v>95334</v>
      </c>
      <c r="U113" s="41"/>
      <c r="V113" s="41"/>
      <c r="W113" s="49">
        <f t="shared" si="7"/>
        <v>95334</v>
      </c>
    </row>
    <row r="114" spans="1:23" ht="18">
      <c r="A114" s="234" t="s">
        <v>7</v>
      </c>
      <c r="B114" s="51" t="s">
        <v>741</v>
      </c>
      <c r="C114" s="51" t="s">
        <v>1763</v>
      </c>
      <c r="D114" s="56" t="s">
        <v>1764</v>
      </c>
      <c r="E114" s="51"/>
      <c r="F114" s="51" t="s">
        <v>744</v>
      </c>
      <c r="G114" s="51" t="s">
        <v>742</v>
      </c>
      <c r="H114" s="640" t="s">
        <v>1171</v>
      </c>
      <c r="I114" s="42">
        <v>70544263</v>
      </c>
      <c r="J114" s="137" t="s">
        <v>149</v>
      </c>
      <c r="K114" s="58">
        <v>4.8</v>
      </c>
      <c r="L114" s="12">
        <f>106107-91962</f>
        <v>14145</v>
      </c>
      <c r="M114" s="41"/>
      <c r="N114" s="41"/>
      <c r="O114" s="49">
        <f t="shared" si="4"/>
        <v>14145</v>
      </c>
      <c r="P114" s="12">
        <f>106107-91962</f>
        <v>14145</v>
      </c>
      <c r="Q114" s="41"/>
      <c r="R114" s="41"/>
      <c r="S114" s="49">
        <f t="shared" si="5"/>
        <v>14145</v>
      </c>
      <c r="T114" s="12">
        <f t="shared" si="6"/>
        <v>28290</v>
      </c>
      <c r="U114" s="41"/>
      <c r="V114" s="41"/>
      <c r="W114" s="49">
        <f t="shared" si="7"/>
        <v>28290</v>
      </c>
    </row>
    <row r="115" spans="1:23" ht="43.5">
      <c r="A115" s="234" t="s">
        <v>7</v>
      </c>
      <c r="B115" s="51" t="s">
        <v>741</v>
      </c>
      <c r="C115" s="51" t="s">
        <v>742</v>
      </c>
      <c r="D115" s="56" t="s">
        <v>745</v>
      </c>
      <c r="E115" s="51"/>
      <c r="F115" s="51" t="s">
        <v>744</v>
      </c>
      <c r="G115" s="51" t="s">
        <v>742</v>
      </c>
      <c r="H115" s="640" t="s">
        <v>1165</v>
      </c>
      <c r="I115" s="42">
        <v>357151</v>
      </c>
      <c r="J115" s="137" t="s">
        <v>149</v>
      </c>
      <c r="K115" s="58">
        <v>10.8</v>
      </c>
      <c r="L115" s="12">
        <f>114799-98932</f>
        <v>15867</v>
      </c>
      <c r="M115" s="41"/>
      <c r="N115" s="41"/>
      <c r="O115" s="49">
        <f t="shared" si="4"/>
        <v>15867</v>
      </c>
      <c r="P115" s="12">
        <f>114799-98932</f>
        <v>15867</v>
      </c>
      <c r="Q115" s="41"/>
      <c r="R115" s="41"/>
      <c r="S115" s="49">
        <f t="shared" si="5"/>
        <v>15867</v>
      </c>
      <c r="T115" s="12">
        <f t="shared" si="6"/>
        <v>31734</v>
      </c>
      <c r="U115" s="41"/>
      <c r="V115" s="41"/>
      <c r="W115" s="49">
        <f t="shared" si="7"/>
        <v>31734</v>
      </c>
    </row>
    <row r="116" spans="1:23" ht="43.5">
      <c r="A116" s="234" t="s">
        <v>7</v>
      </c>
      <c r="B116" s="51" t="s">
        <v>741</v>
      </c>
      <c r="C116" s="51" t="s">
        <v>742</v>
      </c>
      <c r="D116" s="56" t="s">
        <v>1289</v>
      </c>
      <c r="E116" s="51"/>
      <c r="F116" s="51" t="s">
        <v>744</v>
      </c>
      <c r="G116" s="51" t="s">
        <v>742</v>
      </c>
      <c r="H116" s="640" t="s">
        <v>1235</v>
      </c>
      <c r="I116" s="42">
        <v>91185311</v>
      </c>
      <c r="J116" s="137" t="s">
        <v>149</v>
      </c>
      <c r="K116" s="58">
        <v>12</v>
      </c>
      <c r="L116" s="12">
        <f>11959-8986</f>
        <v>2973</v>
      </c>
      <c r="M116" s="41"/>
      <c r="N116" s="41"/>
      <c r="O116" s="49">
        <f t="shared" si="4"/>
        <v>2973</v>
      </c>
      <c r="P116" s="12">
        <f>11959-8986</f>
        <v>2973</v>
      </c>
      <c r="Q116" s="41"/>
      <c r="R116" s="41"/>
      <c r="S116" s="49">
        <f t="shared" si="5"/>
        <v>2973</v>
      </c>
      <c r="T116" s="12">
        <f t="shared" si="6"/>
        <v>5946</v>
      </c>
      <c r="U116" s="41"/>
      <c r="V116" s="41"/>
      <c r="W116" s="49">
        <f t="shared" si="7"/>
        <v>5946</v>
      </c>
    </row>
    <row r="117" spans="1:23" ht="18">
      <c r="A117" s="234" t="s">
        <v>7</v>
      </c>
      <c r="B117" s="51" t="s">
        <v>741</v>
      </c>
      <c r="C117" s="51" t="s">
        <v>742</v>
      </c>
      <c r="D117" s="56" t="s">
        <v>74</v>
      </c>
      <c r="E117" s="51"/>
      <c r="F117" s="51" t="s">
        <v>744</v>
      </c>
      <c r="G117" s="51" t="s">
        <v>742</v>
      </c>
      <c r="H117" s="640" t="s">
        <v>1271</v>
      </c>
      <c r="I117" s="42">
        <v>71010759</v>
      </c>
      <c r="J117" s="137" t="s">
        <v>149</v>
      </c>
      <c r="K117" s="58">
        <v>3.3</v>
      </c>
      <c r="L117" s="12">
        <f>231807-216022</f>
        <v>15785</v>
      </c>
      <c r="M117" s="41"/>
      <c r="N117" s="41"/>
      <c r="O117" s="49">
        <f t="shared" si="4"/>
        <v>15785</v>
      </c>
      <c r="P117" s="12">
        <f>231807-216022</f>
        <v>15785</v>
      </c>
      <c r="Q117" s="41"/>
      <c r="R117" s="41"/>
      <c r="S117" s="49">
        <f t="shared" si="5"/>
        <v>15785</v>
      </c>
      <c r="T117" s="12">
        <f t="shared" si="6"/>
        <v>31570</v>
      </c>
      <c r="U117" s="41"/>
      <c r="V117" s="41"/>
      <c r="W117" s="49">
        <f t="shared" si="7"/>
        <v>31570</v>
      </c>
    </row>
    <row r="118" spans="1:23" ht="18">
      <c r="A118" s="234" t="s">
        <v>7</v>
      </c>
      <c r="B118" s="51" t="s">
        <v>741</v>
      </c>
      <c r="C118" s="51" t="s">
        <v>742</v>
      </c>
      <c r="D118" s="56" t="s">
        <v>351</v>
      </c>
      <c r="E118" s="51"/>
      <c r="F118" s="51" t="s">
        <v>744</v>
      </c>
      <c r="G118" s="51" t="s">
        <v>742</v>
      </c>
      <c r="H118" s="640" t="s">
        <v>1220</v>
      </c>
      <c r="I118" s="42">
        <v>70750760</v>
      </c>
      <c r="J118" s="137" t="s">
        <v>149</v>
      </c>
      <c r="K118" s="58">
        <v>1.1</v>
      </c>
      <c r="L118" s="12">
        <f>56702-50910</f>
        <v>5792</v>
      </c>
      <c r="M118" s="41"/>
      <c r="N118" s="41"/>
      <c r="O118" s="49">
        <f t="shared" si="4"/>
        <v>5792</v>
      </c>
      <c r="P118" s="12">
        <f>56702-50910</f>
        <v>5792</v>
      </c>
      <c r="Q118" s="41"/>
      <c r="R118" s="41"/>
      <c r="S118" s="49">
        <f t="shared" si="5"/>
        <v>5792</v>
      </c>
      <c r="T118" s="12">
        <f t="shared" si="6"/>
        <v>11584</v>
      </c>
      <c r="U118" s="41"/>
      <c r="V118" s="41"/>
      <c r="W118" s="49">
        <f t="shared" si="7"/>
        <v>11584</v>
      </c>
    </row>
    <row r="119" spans="1:23" ht="29.25">
      <c r="A119" s="234" t="s">
        <v>7</v>
      </c>
      <c r="B119" s="42" t="s">
        <v>741</v>
      </c>
      <c r="C119" s="42" t="s">
        <v>742</v>
      </c>
      <c r="D119" s="25" t="s">
        <v>780</v>
      </c>
      <c r="E119" s="42"/>
      <c r="F119" s="42" t="s">
        <v>744</v>
      </c>
      <c r="G119" s="42" t="s">
        <v>742</v>
      </c>
      <c r="H119" s="640" t="s">
        <v>1204</v>
      </c>
      <c r="I119" s="42">
        <v>10351358</v>
      </c>
      <c r="J119" s="138" t="s">
        <v>149</v>
      </c>
      <c r="K119" s="44">
        <v>5.7</v>
      </c>
      <c r="L119" s="12">
        <f>95757-88029</f>
        <v>7728</v>
      </c>
      <c r="M119" s="41"/>
      <c r="N119" s="41"/>
      <c r="O119" s="49">
        <f t="shared" si="4"/>
        <v>7728</v>
      </c>
      <c r="P119" s="12">
        <f>95757-88029</f>
        <v>7728</v>
      </c>
      <c r="Q119" s="41"/>
      <c r="R119" s="41"/>
      <c r="S119" s="49">
        <f t="shared" si="5"/>
        <v>7728</v>
      </c>
      <c r="T119" s="12">
        <f t="shared" si="6"/>
        <v>15456</v>
      </c>
      <c r="U119" s="41"/>
      <c r="V119" s="41"/>
      <c r="W119" s="49">
        <f t="shared" si="7"/>
        <v>15456</v>
      </c>
    </row>
    <row r="120" spans="1:23" ht="29.25">
      <c r="A120" s="234" t="s">
        <v>7</v>
      </c>
      <c r="B120" s="51" t="s">
        <v>741</v>
      </c>
      <c r="C120" s="51" t="s">
        <v>742</v>
      </c>
      <c r="D120" s="56" t="s">
        <v>807</v>
      </c>
      <c r="E120" s="51"/>
      <c r="F120" s="51" t="s">
        <v>744</v>
      </c>
      <c r="G120" s="51" t="s">
        <v>742</v>
      </c>
      <c r="H120" s="640" t="s">
        <v>1241</v>
      </c>
      <c r="I120" s="42">
        <v>356780</v>
      </c>
      <c r="J120" s="137" t="s">
        <v>149</v>
      </c>
      <c r="K120" s="58">
        <v>4.8</v>
      </c>
      <c r="L120" s="12">
        <f>79587-66407</f>
        <v>13180</v>
      </c>
      <c r="M120" s="41"/>
      <c r="N120" s="41"/>
      <c r="O120" s="49">
        <f t="shared" si="4"/>
        <v>13180</v>
      </c>
      <c r="P120" s="12">
        <f>79587-66407</f>
        <v>13180</v>
      </c>
      <c r="Q120" s="41"/>
      <c r="R120" s="41"/>
      <c r="S120" s="49">
        <f t="shared" si="5"/>
        <v>13180</v>
      </c>
      <c r="T120" s="12">
        <f t="shared" si="6"/>
        <v>26360</v>
      </c>
      <c r="U120" s="41"/>
      <c r="V120" s="41"/>
      <c r="W120" s="49">
        <f t="shared" si="7"/>
        <v>26360</v>
      </c>
    </row>
    <row r="121" spans="1:23" ht="18">
      <c r="A121" s="234" t="s">
        <v>7</v>
      </c>
      <c r="B121" s="51" t="s">
        <v>741</v>
      </c>
      <c r="C121" s="51" t="s">
        <v>742</v>
      </c>
      <c r="D121" s="56" t="s">
        <v>395</v>
      </c>
      <c r="E121" s="51"/>
      <c r="F121" s="51" t="s">
        <v>744</v>
      </c>
      <c r="G121" s="51" t="s">
        <v>742</v>
      </c>
      <c r="H121" s="640" t="s">
        <v>1175</v>
      </c>
      <c r="I121" s="42">
        <v>7511414</v>
      </c>
      <c r="J121" s="137" t="s">
        <v>149</v>
      </c>
      <c r="K121" s="58">
        <v>4</v>
      </c>
      <c r="L121" s="12">
        <f>202578-176141</f>
        <v>26437</v>
      </c>
      <c r="M121" s="41"/>
      <c r="N121" s="41"/>
      <c r="O121" s="49">
        <f t="shared" si="4"/>
        <v>26437</v>
      </c>
      <c r="P121" s="12">
        <f>202578-176141</f>
        <v>26437</v>
      </c>
      <c r="Q121" s="41"/>
      <c r="R121" s="41"/>
      <c r="S121" s="49">
        <f t="shared" si="5"/>
        <v>26437</v>
      </c>
      <c r="T121" s="12">
        <f t="shared" si="6"/>
        <v>52874</v>
      </c>
      <c r="U121" s="41"/>
      <c r="V121" s="41"/>
      <c r="W121" s="49">
        <f t="shared" si="7"/>
        <v>52874</v>
      </c>
    </row>
    <row r="122" spans="1:23" ht="29.25">
      <c r="A122" s="234" t="s">
        <v>7</v>
      </c>
      <c r="B122" s="51" t="s">
        <v>741</v>
      </c>
      <c r="C122" s="51" t="s">
        <v>742</v>
      </c>
      <c r="D122" s="56" t="s">
        <v>808</v>
      </c>
      <c r="E122" s="51"/>
      <c r="F122" s="51" t="s">
        <v>744</v>
      </c>
      <c r="G122" s="51" t="s">
        <v>742</v>
      </c>
      <c r="H122" s="640" t="s">
        <v>1242</v>
      </c>
      <c r="I122" s="42">
        <v>356080</v>
      </c>
      <c r="J122" s="137" t="s">
        <v>149</v>
      </c>
      <c r="K122" s="58">
        <v>5</v>
      </c>
      <c r="L122" s="12">
        <f>145145-124104</f>
        <v>21041</v>
      </c>
      <c r="M122" s="41"/>
      <c r="N122" s="41"/>
      <c r="O122" s="49">
        <f t="shared" si="4"/>
        <v>21041</v>
      </c>
      <c r="P122" s="12">
        <f>145145-124104</f>
        <v>21041</v>
      </c>
      <c r="Q122" s="41"/>
      <c r="R122" s="41"/>
      <c r="S122" s="49">
        <f t="shared" si="5"/>
        <v>21041</v>
      </c>
      <c r="T122" s="12">
        <f t="shared" si="6"/>
        <v>42082</v>
      </c>
      <c r="U122" s="41"/>
      <c r="V122" s="41"/>
      <c r="W122" s="49">
        <f t="shared" si="7"/>
        <v>42082</v>
      </c>
    </row>
    <row r="123" spans="1:23" ht="29.25">
      <c r="A123" s="234" t="s">
        <v>7</v>
      </c>
      <c r="B123" s="51" t="s">
        <v>741</v>
      </c>
      <c r="C123" s="51" t="s">
        <v>742</v>
      </c>
      <c r="D123" s="56" t="s">
        <v>1286</v>
      </c>
      <c r="E123" s="51"/>
      <c r="F123" s="51" t="s">
        <v>744</v>
      </c>
      <c r="G123" s="51" t="s">
        <v>742</v>
      </c>
      <c r="H123" s="640" t="s">
        <v>1226</v>
      </c>
      <c r="I123" s="42">
        <v>318920</v>
      </c>
      <c r="J123" s="137" t="s">
        <v>149</v>
      </c>
      <c r="K123" s="58">
        <v>5</v>
      </c>
      <c r="L123" s="12">
        <f>2407-2406</f>
        <v>1</v>
      </c>
      <c r="M123" s="41"/>
      <c r="N123" s="41"/>
      <c r="O123" s="49">
        <f t="shared" si="4"/>
        <v>1</v>
      </c>
      <c r="P123" s="12">
        <f>2407-2406</f>
        <v>1</v>
      </c>
      <c r="Q123" s="41"/>
      <c r="R123" s="41"/>
      <c r="S123" s="49">
        <f t="shared" si="5"/>
        <v>1</v>
      </c>
      <c r="T123" s="12">
        <f t="shared" si="6"/>
        <v>2</v>
      </c>
      <c r="U123" s="41"/>
      <c r="V123" s="41"/>
      <c r="W123" s="49">
        <f t="shared" si="7"/>
        <v>2</v>
      </c>
    </row>
    <row r="124" spans="1:23" ht="18">
      <c r="A124" s="234" t="s">
        <v>7</v>
      </c>
      <c r="B124" s="51" t="s">
        <v>741</v>
      </c>
      <c r="C124" s="51" t="s">
        <v>742</v>
      </c>
      <c r="D124" s="56" t="s">
        <v>816</v>
      </c>
      <c r="E124" s="51"/>
      <c r="F124" s="51" t="s">
        <v>744</v>
      </c>
      <c r="G124" s="51" t="s">
        <v>742</v>
      </c>
      <c r="H124" s="640" t="s">
        <v>1253</v>
      </c>
      <c r="I124" s="42">
        <v>356084</v>
      </c>
      <c r="J124" s="137" t="s">
        <v>149</v>
      </c>
      <c r="K124" s="58">
        <v>5.5</v>
      </c>
      <c r="L124" s="12">
        <f>83620-72449</f>
        <v>11171</v>
      </c>
      <c r="M124" s="41"/>
      <c r="N124" s="41"/>
      <c r="O124" s="49">
        <f t="shared" si="4"/>
        <v>11171</v>
      </c>
      <c r="P124" s="12">
        <f>83620-72449</f>
        <v>11171</v>
      </c>
      <c r="Q124" s="41"/>
      <c r="R124" s="41"/>
      <c r="S124" s="49">
        <f t="shared" si="5"/>
        <v>11171</v>
      </c>
      <c r="T124" s="12">
        <f t="shared" si="6"/>
        <v>22342</v>
      </c>
      <c r="U124" s="41"/>
      <c r="V124" s="41"/>
      <c r="W124" s="49">
        <f t="shared" si="7"/>
        <v>22342</v>
      </c>
    </row>
    <row r="125" spans="1:23" ht="18">
      <c r="A125" s="234" t="s">
        <v>7</v>
      </c>
      <c r="B125" s="51" t="s">
        <v>741</v>
      </c>
      <c r="C125" s="51" t="s">
        <v>742</v>
      </c>
      <c r="D125" s="56" t="s">
        <v>824</v>
      </c>
      <c r="E125" s="51"/>
      <c r="F125" s="51" t="s">
        <v>744</v>
      </c>
      <c r="G125" s="51" t="s">
        <v>742</v>
      </c>
      <c r="H125" s="640" t="s">
        <v>1262</v>
      </c>
      <c r="I125" s="42">
        <v>90103479</v>
      </c>
      <c r="J125" s="137" t="s">
        <v>149</v>
      </c>
      <c r="K125" s="58">
        <v>2.8</v>
      </c>
      <c r="L125" s="12">
        <f>104143-82532</f>
        <v>21611</v>
      </c>
      <c r="M125" s="41"/>
      <c r="N125" s="41"/>
      <c r="O125" s="49">
        <f t="shared" si="4"/>
        <v>21611</v>
      </c>
      <c r="P125" s="12">
        <f>104143-82532</f>
        <v>21611</v>
      </c>
      <c r="Q125" s="41"/>
      <c r="R125" s="41"/>
      <c r="S125" s="49">
        <f t="shared" si="5"/>
        <v>21611</v>
      </c>
      <c r="T125" s="12">
        <f t="shared" si="6"/>
        <v>43222</v>
      </c>
      <c r="U125" s="41"/>
      <c r="V125" s="41"/>
      <c r="W125" s="49">
        <f t="shared" si="7"/>
        <v>43222</v>
      </c>
    </row>
    <row r="126" spans="1:23" ht="29.25">
      <c r="A126" s="234" t="s">
        <v>7</v>
      </c>
      <c r="B126" s="51" t="s">
        <v>741</v>
      </c>
      <c r="C126" s="51" t="s">
        <v>742</v>
      </c>
      <c r="D126" s="56" t="s">
        <v>825</v>
      </c>
      <c r="E126" s="51"/>
      <c r="F126" s="51" t="s">
        <v>744</v>
      </c>
      <c r="G126" s="51" t="s">
        <v>742</v>
      </c>
      <c r="H126" s="640" t="s">
        <v>1263</v>
      </c>
      <c r="I126" s="42">
        <v>9984733</v>
      </c>
      <c r="J126" s="137" t="s">
        <v>149</v>
      </c>
      <c r="K126" s="58">
        <v>7.2</v>
      </c>
      <c r="L126" s="12">
        <f>162704-142992</f>
        <v>19712</v>
      </c>
      <c r="M126" s="41"/>
      <c r="N126" s="41"/>
      <c r="O126" s="49">
        <f t="shared" si="4"/>
        <v>19712</v>
      </c>
      <c r="P126" s="12">
        <f>162704-142992</f>
        <v>19712</v>
      </c>
      <c r="Q126" s="41"/>
      <c r="R126" s="41"/>
      <c r="S126" s="49">
        <f t="shared" si="5"/>
        <v>19712</v>
      </c>
      <c r="T126" s="12">
        <f t="shared" si="6"/>
        <v>39424</v>
      </c>
      <c r="U126" s="41"/>
      <c r="V126" s="41"/>
      <c r="W126" s="49">
        <f t="shared" si="7"/>
        <v>39424</v>
      </c>
    </row>
    <row r="127" spans="1:23" ht="18">
      <c r="A127" s="234" t="s">
        <v>7</v>
      </c>
      <c r="B127" s="42" t="s">
        <v>741</v>
      </c>
      <c r="C127" s="42" t="s">
        <v>742</v>
      </c>
      <c r="D127" s="25" t="s">
        <v>826</v>
      </c>
      <c r="E127" s="42"/>
      <c r="F127" s="42" t="s">
        <v>744</v>
      </c>
      <c r="G127" s="42" t="s">
        <v>742</v>
      </c>
      <c r="H127" s="640" t="s">
        <v>1264</v>
      </c>
      <c r="I127" s="42">
        <v>10661419</v>
      </c>
      <c r="J127" s="138" t="s">
        <v>149</v>
      </c>
      <c r="K127" s="44">
        <v>3</v>
      </c>
      <c r="L127" s="12">
        <f>74627-65868</f>
        <v>8759</v>
      </c>
      <c r="M127" s="41"/>
      <c r="N127" s="41"/>
      <c r="O127" s="49">
        <f t="shared" si="4"/>
        <v>8759</v>
      </c>
      <c r="P127" s="12">
        <f>74627-65868</f>
        <v>8759</v>
      </c>
      <c r="Q127" s="41"/>
      <c r="R127" s="41"/>
      <c r="S127" s="49">
        <f t="shared" si="5"/>
        <v>8759</v>
      </c>
      <c r="T127" s="12">
        <f t="shared" si="6"/>
        <v>17518</v>
      </c>
      <c r="U127" s="41"/>
      <c r="V127" s="41"/>
      <c r="W127" s="49">
        <f t="shared" si="7"/>
        <v>17518</v>
      </c>
    </row>
    <row r="128" spans="1:23" ht="18">
      <c r="A128" s="234" t="s">
        <v>7</v>
      </c>
      <c r="B128" s="51" t="s">
        <v>741</v>
      </c>
      <c r="C128" s="51" t="s">
        <v>742</v>
      </c>
      <c r="D128" s="56" t="s">
        <v>835</v>
      </c>
      <c r="E128" s="51"/>
      <c r="F128" s="51" t="s">
        <v>744</v>
      </c>
      <c r="G128" s="51" t="s">
        <v>742</v>
      </c>
      <c r="H128" s="640" t="s">
        <v>1276</v>
      </c>
      <c r="I128" s="42">
        <v>93016725</v>
      </c>
      <c r="J128" s="4" t="s">
        <v>147</v>
      </c>
      <c r="K128" s="58">
        <v>5.2</v>
      </c>
      <c r="L128" s="12">
        <f>40775-21018</f>
        <v>19757</v>
      </c>
      <c r="M128" s="41"/>
      <c r="N128" s="41"/>
      <c r="O128" s="49">
        <f t="shared" si="4"/>
        <v>19757</v>
      </c>
      <c r="P128" s="12">
        <f>40775-21018</f>
        <v>19757</v>
      </c>
      <c r="Q128" s="41"/>
      <c r="R128" s="41"/>
      <c r="S128" s="49">
        <f t="shared" si="5"/>
        <v>19757</v>
      </c>
      <c r="T128" s="12">
        <f t="shared" si="6"/>
        <v>39514</v>
      </c>
      <c r="U128" s="41"/>
      <c r="V128" s="41"/>
      <c r="W128" s="49">
        <f t="shared" si="7"/>
        <v>39514</v>
      </c>
    </row>
    <row r="129" spans="1:23" ht="18">
      <c r="A129" s="234" t="s">
        <v>7</v>
      </c>
      <c r="B129" s="51" t="s">
        <v>741</v>
      </c>
      <c r="C129" s="51" t="s">
        <v>742</v>
      </c>
      <c r="D129" s="56" t="s">
        <v>835</v>
      </c>
      <c r="E129" s="51"/>
      <c r="F129" s="51" t="s">
        <v>744</v>
      </c>
      <c r="G129" s="51" t="s">
        <v>742</v>
      </c>
      <c r="H129" s="640" t="s">
        <v>1277</v>
      </c>
      <c r="I129" s="42">
        <v>90085933</v>
      </c>
      <c r="J129" s="4" t="s">
        <v>147</v>
      </c>
      <c r="K129" s="58">
        <v>5.2</v>
      </c>
      <c r="L129" s="12">
        <f>156870-147905</f>
        <v>8965</v>
      </c>
      <c r="M129" s="41"/>
      <c r="N129" s="41"/>
      <c r="O129" s="49">
        <f t="shared" si="4"/>
        <v>8965</v>
      </c>
      <c r="P129" s="12">
        <f>156870-147905</f>
        <v>8965</v>
      </c>
      <c r="Q129" s="41"/>
      <c r="R129" s="41"/>
      <c r="S129" s="49">
        <f t="shared" si="5"/>
        <v>8965</v>
      </c>
      <c r="T129" s="12">
        <f t="shared" si="6"/>
        <v>17930</v>
      </c>
      <c r="U129" s="41"/>
      <c r="V129" s="41"/>
      <c r="W129" s="49">
        <f t="shared" si="7"/>
        <v>17930</v>
      </c>
    </row>
    <row r="130" spans="1:23" ht="18">
      <c r="A130" s="234" t="s">
        <v>7</v>
      </c>
      <c r="B130" s="51" t="s">
        <v>741</v>
      </c>
      <c r="C130" s="51" t="s">
        <v>742</v>
      </c>
      <c r="D130" s="56" t="s">
        <v>833</v>
      </c>
      <c r="E130" s="51"/>
      <c r="F130" s="51" t="s">
        <v>744</v>
      </c>
      <c r="G130" s="51" t="s">
        <v>742</v>
      </c>
      <c r="H130" s="640" t="s">
        <v>1274</v>
      </c>
      <c r="I130" s="42">
        <v>89115708</v>
      </c>
      <c r="J130" s="4" t="s">
        <v>147</v>
      </c>
      <c r="K130" s="58">
        <v>2</v>
      </c>
      <c r="L130" s="12">
        <f>7732-5283</f>
        <v>2449</v>
      </c>
      <c r="M130" s="41"/>
      <c r="N130" s="41"/>
      <c r="O130" s="49">
        <f t="shared" si="4"/>
        <v>2449</v>
      </c>
      <c r="P130" s="12">
        <f>7732-5283</f>
        <v>2449</v>
      </c>
      <c r="Q130" s="41"/>
      <c r="R130" s="41"/>
      <c r="S130" s="49">
        <f t="shared" si="5"/>
        <v>2449</v>
      </c>
      <c r="T130" s="12">
        <f t="shared" si="6"/>
        <v>4898</v>
      </c>
      <c r="U130" s="41"/>
      <c r="V130" s="41"/>
      <c r="W130" s="49">
        <f t="shared" si="7"/>
        <v>4898</v>
      </c>
    </row>
    <row r="131" spans="1:23" ht="29.25">
      <c r="A131" s="234" t="s">
        <v>7</v>
      </c>
      <c r="B131" s="42" t="s">
        <v>741</v>
      </c>
      <c r="C131" s="42" t="s">
        <v>742</v>
      </c>
      <c r="D131" s="25" t="s">
        <v>834</v>
      </c>
      <c r="E131" s="42"/>
      <c r="F131" s="42" t="s">
        <v>744</v>
      </c>
      <c r="G131" s="42" t="s">
        <v>742</v>
      </c>
      <c r="H131" s="640" t="s">
        <v>1275</v>
      </c>
      <c r="I131" s="42">
        <v>93175833</v>
      </c>
      <c r="J131" s="69" t="s">
        <v>147</v>
      </c>
      <c r="K131" s="44">
        <v>2.5</v>
      </c>
      <c r="L131" s="12">
        <f>87547-85910</f>
        <v>1637</v>
      </c>
      <c r="M131" s="41"/>
      <c r="N131" s="41"/>
      <c r="O131" s="49">
        <f t="shared" si="4"/>
        <v>1637</v>
      </c>
      <c r="P131" s="12">
        <f>87547-85910</f>
        <v>1637</v>
      </c>
      <c r="Q131" s="41"/>
      <c r="R131" s="41"/>
      <c r="S131" s="49">
        <f t="shared" si="5"/>
        <v>1637</v>
      </c>
      <c r="T131" s="12">
        <f t="shared" si="6"/>
        <v>3274</v>
      </c>
      <c r="U131" s="41"/>
      <c r="V131" s="41"/>
      <c r="W131" s="49">
        <f t="shared" si="7"/>
        <v>3274</v>
      </c>
    </row>
    <row r="132" spans="1:23" ht="29.25">
      <c r="A132" s="234" t="s">
        <v>7</v>
      </c>
      <c r="B132" s="56" t="s">
        <v>1282</v>
      </c>
      <c r="C132" s="68" t="s">
        <v>742</v>
      </c>
      <c r="D132" s="56" t="s">
        <v>1947</v>
      </c>
      <c r="E132" s="56" t="s">
        <v>1948</v>
      </c>
      <c r="F132" s="48" t="s">
        <v>744</v>
      </c>
      <c r="G132" s="48" t="s">
        <v>742</v>
      </c>
      <c r="H132" s="640" t="s">
        <v>2085</v>
      </c>
      <c r="I132" s="506">
        <v>83991094</v>
      </c>
      <c r="J132" s="143" t="s">
        <v>147</v>
      </c>
      <c r="K132" s="162">
        <v>2</v>
      </c>
      <c r="L132" s="49">
        <f>7286-5152</f>
        <v>2134</v>
      </c>
      <c r="M132" s="50"/>
      <c r="N132" s="50"/>
      <c r="O132" s="49">
        <f t="shared" si="4"/>
        <v>2134</v>
      </c>
      <c r="P132" s="49">
        <f>7286-5152</f>
        <v>2134</v>
      </c>
      <c r="Q132" s="50"/>
      <c r="R132" s="50"/>
      <c r="S132" s="49">
        <f t="shared" si="5"/>
        <v>2134</v>
      </c>
      <c r="T132" s="12">
        <f t="shared" si="6"/>
        <v>4268</v>
      </c>
      <c r="U132" s="50"/>
      <c r="V132" s="50"/>
      <c r="W132" s="49">
        <f t="shared" si="7"/>
        <v>4268</v>
      </c>
    </row>
    <row r="133" spans="1:23" ht="29.25">
      <c r="A133" s="234" t="s">
        <v>7</v>
      </c>
      <c r="B133" s="56" t="s">
        <v>1282</v>
      </c>
      <c r="C133" s="68" t="s">
        <v>742</v>
      </c>
      <c r="D133" s="56" t="s">
        <v>287</v>
      </c>
      <c r="E133" s="56" t="s">
        <v>1946</v>
      </c>
      <c r="F133" s="48" t="s">
        <v>744</v>
      </c>
      <c r="G133" s="48" t="s">
        <v>742</v>
      </c>
      <c r="H133" s="640" t="s">
        <v>2084</v>
      </c>
      <c r="I133" s="506">
        <v>83564504</v>
      </c>
      <c r="J133" s="143" t="s">
        <v>147</v>
      </c>
      <c r="K133" s="162">
        <v>0.5</v>
      </c>
      <c r="L133" s="49">
        <f>3445-2738</f>
        <v>707</v>
      </c>
      <c r="M133" s="50"/>
      <c r="N133" s="50"/>
      <c r="O133" s="49">
        <f t="shared" si="4"/>
        <v>707</v>
      </c>
      <c r="P133" s="49">
        <f>3445-2738</f>
        <v>707</v>
      </c>
      <c r="Q133" s="50"/>
      <c r="R133" s="50"/>
      <c r="S133" s="49">
        <f t="shared" si="5"/>
        <v>707</v>
      </c>
      <c r="T133" s="12">
        <f t="shared" si="6"/>
        <v>1414</v>
      </c>
      <c r="U133" s="50"/>
      <c r="V133" s="50"/>
      <c r="W133" s="49">
        <f t="shared" si="7"/>
        <v>1414</v>
      </c>
    </row>
    <row r="134" spans="1:23" ht="57.75">
      <c r="A134" s="234" t="s">
        <v>7</v>
      </c>
      <c r="B134" s="56" t="s">
        <v>1282</v>
      </c>
      <c r="C134" s="68" t="s">
        <v>742</v>
      </c>
      <c r="D134" s="56" t="s">
        <v>1944</v>
      </c>
      <c r="E134" s="56" t="s">
        <v>1945</v>
      </c>
      <c r="F134" s="48" t="s">
        <v>744</v>
      </c>
      <c r="G134" s="48" t="s">
        <v>742</v>
      </c>
      <c r="H134" s="640" t="s">
        <v>2083</v>
      </c>
      <c r="I134" s="506">
        <v>83294017</v>
      </c>
      <c r="J134" s="143" t="s">
        <v>147</v>
      </c>
      <c r="K134" s="162">
        <v>0.5</v>
      </c>
      <c r="L134" s="49">
        <f>7216-5709</f>
        <v>1507</v>
      </c>
      <c r="M134" s="50"/>
      <c r="N134" s="50"/>
      <c r="O134" s="49">
        <f t="shared" si="4"/>
        <v>1507</v>
      </c>
      <c r="P134" s="49">
        <f>7216-5709</f>
        <v>1507</v>
      </c>
      <c r="Q134" s="50"/>
      <c r="R134" s="50"/>
      <c r="S134" s="49">
        <f t="shared" si="5"/>
        <v>1507</v>
      </c>
      <c r="T134" s="12">
        <f t="shared" si="6"/>
        <v>3014</v>
      </c>
      <c r="U134" s="50"/>
      <c r="V134" s="50"/>
      <c r="W134" s="49">
        <f t="shared" si="7"/>
        <v>3014</v>
      </c>
    </row>
    <row r="135" spans="1:23" ht="30" thickBot="1">
      <c r="A135" s="234" t="s">
        <v>7</v>
      </c>
      <c r="B135" s="124" t="s">
        <v>1282</v>
      </c>
      <c r="C135" s="203" t="s">
        <v>742</v>
      </c>
      <c r="D135" s="124" t="s">
        <v>2086</v>
      </c>
      <c r="E135" s="124" t="s">
        <v>2087</v>
      </c>
      <c r="F135" s="48" t="s">
        <v>744</v>
      </c>
      <c r="G135" s="48" t="s">
        <v>742</v>
      </c>
      <c r="H135" s="640" t="s">
        <v>2088</v>
      </c>
      <c r="I135" s="506">
        <v>83698035</v>
      </c>
      <c r="J135" s="143" t="s">
        <v>147</v>
      </c>
      <c r="K135" s="162">
        <v>1</v>
      </c>
      <c r="L135" s="49">
        <f>10-10</f>
        <v>0</v>
      </c>
      <c r="M135" s="50"/>
      <c r="N135" s="50"/>
      <c r="O135" s="49">
        <f t="shared" si="4"/>
        <v>0</v>
      </c>
      <c r="P135" s="49">
        <f>10-10</f>
        <v>0</v>
      </c>
      <c r="Q135" s="50"/>
      <c r="R135" s="50"/>
      <c r="S135" s="49">
        <f t="shared" si="5"/>
        <v>0</v>
      </c>
      <c r="T135" s="12">
        <f t="shared" si="6"/>
        <v>0</v>
      </c>
      <c r="U135" s="50"/>
      <c r="V135" s="50"/>
      <c r="W135" s="49">
        <f t="shared" si="7"/>
        <v>0</v>
      </c>
    </row>
    <row r="136" spans="2:23" ht="42.75" customHeight="1">
      <c r="B136" s="440" t="s">
        <v>150</v>
      </c>
      <c r="C136" s="441" t="s">
        <v>1636</v>
      </c>
      <c r="D136" s="487"/>
      <c r="G136" s="521" t="s">
        <v>2030</v>
      </c>
      <c r="H136" s="483" t="s">
        <v>1636</v>
      </c>
      <c r="I136" s="222"/>
      <c r="K136" s="1"/>
      <c r="N136" s="12" t="s">
        <v>2022</v>
      </c>
      <c r="O136" s="235">
        <f>SUM(O18:O135)</f>
        <v>1404013</v>
      </c>
      <c r="R136" s="12" t="s">
        <v>2022</v>
      </c>
      <c r="S136" s="235">
        <f>SUM(S18:S135)</f>
        <v>1404013</v>
      </c>
      <c r="V136" s="12" t="s">
        <v>2022</v>
      </c>
      <c r="W136" s="235">
        <f>SUM(W18:W135)</f>
        <v>2808026</v>
      </c>
    </row>
    <row r="137" spans="2:15" ht="15">
      <c r="B137" s="442"/>
      <c r="C137" s="443" t="s">
        <v>1917</v>
      </c>
      <c r="D137" s="488"/>
      <c r="G137" s="482"/>
      <c r="H137" s="484" t="s">
        <v>1917</v>
      </c>
      <c r="I137" s="82"/>
      <c r="J137" s="82"/>
      <c r="K137" s="82"/>
      <c r="L137" s="135"/>
      <c r="M137" s="135"/>
      <c r="N137" s="135"/>
      <c r="O137" s="2"/>
    </row>
    <row r="138" spans="2:14" ht="15.75" thickBot="1">
      <c r="B138" s="442"/>
      <c r="C138" s="443" t="s">
        <v>1637</v>
      </c>
      <c r="D138" s="488"/>
      <c r="G138" s="485"/>
      <c r="H138" s="486" t="s">
        <v>1637</v>
      </c>
      <c r="I138" s="82"/>
      <c r="J138" s="82"/>
      <c r="K138" s="135"/>
      <c r="L138" s="135"/>
      <c r="N138" s="135"/>
    </row>
    <row r="139" spans="2:14" ht="15">
      <c r="B139" s="444" t="s">
        <v>1640</v>
      </c>
      <c r="C139" s="443" t="s">
        <v>1918</v>
      </c>
      <c r="D139" s="488"/>
      <c r="F139" s="29"/>
      <c r="G139" s="29"/>
      <c r="H139" s="29"/>
      <c r="I139" s="82"/>
      <c r="J139" s="82"/>
      <c r="K139" s="135"/>
      <c r="L139" s="135"/>
      <c r="M139" s="135"/>
      <c r="N139" s="135"/>
    </row>
    <row r="140" spans="2:14" ht="15.75" thickBot="1">
      <c r="B140" s="445" t="s">
        <v>1644</v>
      </c>
      <c r="C140" s="446" t="s">
        <v>1762</v>
      </c>
      <c r="D140" s="489"/>
      <c r="F140" s="29"/>
      <c r="G140" s="29"/>
      <c r="H140" s="29"/>
      <c r="I140" s="82"/>
      <c r="J140" s="82"/>
      <c r="K140" s="135"/>
      <c r="N140" s="135"/>
    </row>
    <row r="141" spans="2:14" ht="15">
      <c r="B141" s="504"/>
      <c r="C141" s="443"/>
      <c r="D141" s="505"/>
      <c r="F141" s="29"/>
      <c r="G141" s="29"/>
      <c r="H141" s="29"/>
      <c r="I141" s="82"/>
      <c r="J141" s="82"/>
      <c r="K141" s="135"/>
      <c r="L141" s="196" t="s">
        <v>155</v>
      </c>
      <c r="M141" s="135">
        <f>W136</f>
        <v>2808026</v>
      </c>
      <c r="N141" s="135"/>
    </row>
    <row r="142" spans="2:14" ht="15.75" thickBot="1">
      <c r="B142" s="167"/>
      <c r="C142" s="72"/>
      <c r="D142" s="167"/>
      <c r="F142" s="29"/>
      <c r="G142" s="29"/>
      <c r="H142" s="29"/>
      <c r="I142" s="82"/>
      <c r="J142" s="82"/>
      <c r="K142" s="135"/>
      <c r="L142" s="135"/>
      <c r="M142" s="135"/>
      <c r="N142" s="135"/>
    </row>
    <row r="143" spans="6:15" ht="46.5" customHeight="1">
      <c r="F143" s="29"/>
      <c r="G143" s="146"/>
      <c r="H143" s="146"/>
      <c r="I143" s="146"/>
      <c r="J143" s="198"/>
      <c r="K143" s="796" t="s">
        <v>152</v>
      </c>
      <c r="L143" s="774" t="s">
        <v>2257</v>
      </c>
      <c r="M143" s="775"/>
      <c r="N143" s="776"/>
      <c r="O143" s="741" t="s">
        <v>153</v>
      </c>
    </row>
    <row r="144" spans="6:15" ht="23.25" customHeight="1">
      <c r="F144" s="29"/>
      <c r="G144" s="146"/>
      <c r="H144" s="194"/>
      <c r="I144" s="194"/>
      <c r="J144" s="198"/>
      <c r="K144" s="797"/>
      <c r="L144" s="701" t="s">
        <v>154</v>
      </c>
      <c r="M144" s="701" t="s">
        <v>1017</v>
      </c>
      <c r="N144" s="701" t="s">
        <v>1018</v>
      </c>
      <c r="O144" s="794"/>
    </row>
    <row r="145" spans="6:15" ht="23.25" customHeight="1">
      <c r="F145" s="29"/>
      <c r="G145" s="146"/>
      <c r="H145" s="194"/>
      <c r="I145" s="194"/>
      <c r="J145" s="198"/>
      <c r="K145" s="690" t="s">
        <v>147</v>
      </c>
      <c r="L145" s="582">
        <f>SUM(W128:W135)</f>
        <v>74312</v>
      </c>
      <c r="M145" s="666"/>
      <c r="N145" s="666"/>
      <c r="O145" s="715">
        <v>8</v>
      </c>
    </row>
    <row r="146" spans="6:15" ht="21" customHeight="1">
      <c r="F146" s="29"/>
      <c r="G146" s="195"/>
      <c r="H146" s="196"/>
      <c r="I146" s="134"/>
      <c r="J146" s="196"/>
      <c r="K146" s="716" t="s">
        <v>149</v>
      </c>
      <c r="L146" s="598">
        <f>SUM(W20:W127)</f>
        <v>2674862</v>
      </c>
      <c r="M146" s="139"/>
      <c r="N146" s="139"/>
      <c r="O146" s="693">
        <v>108</v>
      </c>
    </row>
    <row r="147" spans="6:15" ht="22.5" customHeight="1" thickBot="1">
      <c r="F147" s="29"/>
      <c r="G147" s="29"/>
      <c r="H147" s="135"/>
      <c r="I147" s="135"/>
      <c r="J147" s="135"/>
      <c r="K147" s="586" t="s">
        <v>364</v>
      </c>
      <c r="L147" s="53"/>
      <c r="M147" s="583">
        <f>SUM(U18:U19)</f>
        <v>19940</v>
      </c>
      <c r="N147" s="583">
        <f>SUM(V18:V19)</f>
        <v>38912</v>
      </c>
      <c r="O147" s="602">
        <v>2</v>
      </c>
    </row>
    <row r="148" spans="6:15" ht="22.5" customHeight="1" thickBot="1">
      <c r="F148" s="29"/>
      <c r="G148" s="128"/>
      <c r="H148" s="135"/>
      <c r="I148" s="135"/>
      <c r="J148" s="135"/>
      <c r="K148" s="14" t="s">
        <v>155</v>
      </c>
      <c r="L148" s="15">
        <f>SUM(L145:L147)</f>
        <v>2749174</v>
      </c>
      <c r="M148" s="15">
        <f>SUM(M145:M147)</f>
        <v>19940</v>
      </c>
      <c r="N148" s="15">
        <f>SUM(N145:N147)</f>
        <v>38912</v>
      </c>
      <c r="O148" s="717">
        <f>SUM(O145:O147)</f>
        <v>118</v>
      </c>
    </row>
    <row r="149" spans="6:15" ht="18.75" thickBot="1">
      <c r="F149" s="29"/>
      <c r="G149" s="29"/>
      <c r="H149" s="196"/>
      <c r="I149" s="135"/>
      <c r="J149" s="135"/>
      <c r="K149"/>
      <c r="L149" s="18" t="s">
        <v>156</v>
      </c>
      <c r="M149" s="273">
        <f>SUM(L148:N148)</f>
        <v>2808026</v>
      </c>
      <c r="O149" s="2"/>
    </row>
    <row r="150" spans="6:14" ht="14.25">
      <c r="F150" s="29"/>
      <c r="G150" s="29"/>
      <c r="H150" s="29"/>
      <c r="I150" s="82"/>
      <c r="J150" s="82"/>
      <c r="K150" s="135"/>
      <c r="L150" s="135"/>
      <c r="M150" s="29"/>
      <c r="N150" s="135"/>
    </row>
    <row r="151" spans="6:14" ht="14.25">
      <c r="F151" s="29"/>
      <c r="G151" s="29"/>
      <c r="H151" s="29"/>
      <c r="I151" s="82"/>
      <c r="J151" s="82"/>
      <c r="K151" s="135"/>
      <c r="L151" s="135"/>
      <c r="M151" s="29"/>
      <c r="N151" s="135"/>
    </row>
    <row r="152" spans="6:14" ht="14.25">
      <c r="F152" s="29"/>
      <c r="G152" s="29"/>
      <c r="H152" s="29"/>
      <c r="I152" s="82"/>
      <c r="J152" s="82"/>
      <c r="K152" s="135"/>
      <c r="L152" s="135"/>
      <c r="M152" s="29"/>
      <c r="N152" s="135"/>
    </row>
    <row r="153" spans="6:14" ht="14.25">
      <c r="F153" s="29"/>
      <c r="G153" s="29"/>
      <c r="H153" s="29"/>
      <c r="I153" s="82"/>
      <c r="J153" s="82"/>
      <c r="K153" s="135"/>
      <c r="L153" s="135"/>
      <c r="M153" s="29"/>
      <c r="N153" s="135"/>
    </row>
    <row r="154" spans="6:14" ht="14.25">
      <c r="F154" s="29"/>
      <c r="G154" s="29"/>
      <c r="H154" s="29"/>
      <c r="I154" s="29"/>
      <c r="J154" s="29"/>
      <c r="K154" s="29"/>
      <c r="L154" s="29"/>
      <c r="M154" s="29"/>
      <c r="N154" s="135"/>
    </row>
    <row r="155" spans="9:13" ht="14.25">
      <c r="I155"/>
      <c r="J155"/>
      <c r="K155"/>
      <c r="L155"/>
      <c r="M155"/>
    </row>
    <row r="156" spans="9:13" ht="14.25">
      <c r="I156"/>
      <c r="J156"/>
      <c r="K156"/>
      <c r="L156"/>
      <c r="M156"/>
    </row>
    <row r="157" spans="9:13" ht="14.25">
      <c r="I157"/>
      <c r="J157"/>
      <c r="K157"/>
      <c r="L157"/>
      <c r="M157"/>
    </row>
    <row r="158" spans="9:13" ht="14.25">
      <c r="I158"/>
      <c r="J158"/>
      <c r="K158"/>
      <c r="L158"/>
      <c r="M158"/>
    </row>
    <row r="159" spans="9:13" ht="14.25">
      <c r="I159"/>
      <c r="J159"/>
      <c r="K159"/>
      <c r="L159"/>
      <c r="M159"/>
    </row>
  </sheetData>
  <sheetProtection/>
  <mergeCells count="23">
    <mergeCell ref="P15:S15"/>
    <mergeCell ref="T15:W15"/>
    <mergeCell ref="P16:S16"/>
    <mergeCell ref="T16:W16"/>
    <mergeCell ref="B1:L1"/>
    <mergeCell ref="L15:O15"/>
    <mergeCell ref="A15:A17"/>
    <mergeCell ref="B15:B17"/>
    <mergeCell ref="C15:C17"/>
    <mergeCell ref="D15:D17"/>
    <mergeCell ref="G15:G17"/>
    <mergeCell ref="J15:J17"/>
    <mergeCell ref="H15:H17"/>
    <mergeCell ref="I15:I17"/>
    <mergeCell ref="O143:O144"/>
    <mergeCell ref="B3:I3"/>
    <mergeCell ref="B5:I5"/>
    <mergeCell ref="E15:E17"/>
    <mergeCell ref="L143:N143"/>
    <mergeCell ref="F15:F17"/>
    <mergeCell ref="K143:K144"/>
    <mergeCell ref="L16:O16"/>
    <mergeCell ref="K15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0"/>
  <sheetViews>
    <sheetView zoomScale="50" zoomScaleNormal="50" zoomScalePageLayoutView="0" workbookViewId="0" topLeftCell="B91">
      <selection activeCell="B9" sqref="A9:IV9"/>
    </sheetView>
  </sheetViews>
  <sheetFormatPr defaultColWidth="8.796875" defaultRowHeight="14.25"/>
  <cols>
    <col min="1" max="1" width="12.3984375" style="1" customWidth="1"/>
    <col min="2" max="2" width="16.8984375" style="0" customWidth="1"/>
    <col min="3" max="3" width="15" style="110" customWidth="1"/>
    <col min="4" max="4" width="15.09765625" style="0" customWidth="1"/>
    <col min="5" max="5" width="14.59765625" style="0" customWidth="1"/>
    <col min="6" max="6" width="27.59765625" style="0" customWidth="1"/>
    <col min="8" max="8" width="25" style="0" customWidth="1"/>
    <col min="9" max="9" width="17.19921875" style="0" customWidth="1"/>
    <col min="10" max="10" width="12.8984375" style="1" customWidth="1"/>
    <col min="11" max="11" width="9" style="55" customWidth="1"/>
    <col min="12" max="12" width="13.19921875" style="0" customWidth="1"/>
    <col min="13" max="13" width="15.69921875" style="2" customWidth="1"/>
    <col min="14" max="14" width="18.69921875" style="2" customWidth="1"/>
    <col min="15" max="15" width="16.09765625" style="2" customWidth="1"/>
    <col min="16" max="16" width="15" style="0" customWidth="1"/>
    <col min="18" max="20" width="15.59765625" style="0" customWidth="1"/>
    <col min="21" max="22" width="16" style="0" customWidth="1"/>
  </cols>
  <sheetData>
    <row r="1" spans="1:12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14.25" customHeight="1">
      <c r="A2"/>
      <c r="B2" s="182"/>
      <c r="C2" s="182"/>
      <c r="D2" s="182"/>
      <c r="E2" s="182"/>
      <c r="F2" s="182"/>
      <c r="G2" s="182"/>
      <c r="H2" s="184"/>
      <c r="I2" s="182"/>
      <c r="J2" s="192"/>
      <c r="K2" s="182"/>
      <c r="L2" s="2"/>
    </row>
    <row r="3" spans="1:12" ht="32.25" customHeight="1">
      <c r="A3"/>
      <c r="B3" s="782" t="s">
        <v>1026</v>
      </c>
      <c r="C3" s="783"/>
      <c r="D3" s="783"/>
      <c r="E3" s="783"/>
      <c r="F3" s="783"/>
      <c r="G3" s="783"/>
      <c r="H3" s="783"/>
      <c r="I3" s="784"/>
      <c r="J3" s="192"/>
      <c r="K3" s="182"/>
      <c r="L3" s="2"/>
    </row>
    <row r="4" spans="1:12" ht="15">
      <c r="A4"/>
      <c r="B4" s="183"/>
      <c r="C4" s="183"/>
      <c r="D4" s="183"/>
      <c r="E4" s="183"/>
      <c r="F4" s="183"/>
      <c r="G4" s="183"/>
      <c r="H4" s="184"/>
      <c r="I4" s="182"/>
      <c r="J4" s="192"/>
      <c r="K4" s="182"/>
      <c r="L4" s="2"/>
    </row>
    <row r="5" spans="1:12" ht="15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92"/>
      <c r="K5" s="182"/>
      <c r="L5" s="2"/>
    </row>
    <row r="6" spans="1:12" ht="15">
      <c r="A6"/>
      <c r="B6" s="183"/>
      <c r="C6" s="183"/>
      <c r="D6" s="183"/>
      <c r="E6" s="183"/>
      <c r="F6" s="183"/>
      <c r="G6" s="183"/>
      <c r="H6" s="184"/>
      <c r="I6" s="182"/>
      <c r="J6" s="192"/>
      <c r="K6" s="182"/>
      <c r="L6" s="2"/>
    </row>
    <row r="7" spans="1:12" ht="15.75">
      <c r="A7"/>
      <c r="B7" s="383" t="s">
        <v>950</v>
      </c>
      <c r="C7" s="182"/>
      <c r="D7" s="183"/>
      <c r="E7" s="183"/>
      <c r="F7" s="183"/>
      <c r="G7" s="182"/>
      <c r="H7" s="184"/>
      <c r="I7" s="182"/>
      <c r="J7" s="192"/>
      <c r="K7" s="182"/>
      <c r="L7" s="2"/>
    </row>
    <row r="8" spans="1:12" ht="15.75">
      <c r="A8"/>
      <c r="B8" s="383" t="s">
        <v>2031</v>
      </c>
      <c r="C8" s="182"/>
      <c r="D8" s="183"/>
      <c r="E8" s="183"/>
      <c r="F8" s="183"/>
      <c r="G8" s="182"/>
      <c r="H8" s="184"/>
      <c r="I8" s="182"/>
      <c r="J8" s="192"/>
      <c r="K8" s="182"/>
      <c r="L8" s="2"/>
    </row>
    <row r="9" spans="1:14" ht="15.75">
      <c r="A9"/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N9"/>
    </row>
    <row r="10" spans="1:12" ht="15.75">
      <c r="A10"/>
      <c r="B10" s="186" t="s">
        <v>1634</v>
      </c>
      <c r="C10" s="182"/>
      <c r="D10" s="187"/>
      <c r="E10" s="183"/>
      <c r="F10" s="183"/>
      <c r="G10" s="182"/>
      <c r="H10" s="184"/>
      <c r="I10" s="182"/>
      <c r="J10" s="192"/>
      <c r="K10" s="182"/>
      <c r="L10" s="2"/>
    </row>
    <row r="11" spans="1:12" ht="15">
      <c r="A11"/>
      <c r="B11" s="182" t="s">
        <v>1024</v>
      </c>
      <c r="C11" s="182"/>
      <c r="D11" s="182"/>
      <c r="E11" s="182"/>
      <c r="F11" s="182"/>
      <c r="G11" s="182"/>
      <c r="H11" s="184"/>
      <c r="I11" s="182"/>
      <c r="J11" s="192"/>
      <c r="K11" s="182"/>
      <c r="L11" s="2"/>
    </row>
    <row r="12" spans="1:12" ht="15.75">
      <c r="A12"/>
      <c r="B12" s="188" t="s">
        <v>1013</v>
      </c>
      <c r="C12" s="189" t="s">
        <v>1014</v>
      </c>
      <c r="D12" s="187"/>
      <c r="E12" s="187"/>
      <c r="F12" s="187"/>
      <c r="G12" s="187"/>
      <c r="H12" s="182"/>
      <c r="I12" s="182"/>
      <c r="J12" s="192"/>
      <c r="K12" s="182"/>
      <c r="L12" s="2"/>
    </row>
    <row r="13" spans="1:14" ht="15.75">
      <c r="A13"/>
      <c r="B13" s="188" t="s">
        <v>1015</v>
      </c>
      <c r="C13" s="185" t="s">
        <v>1016</v>
      </c>
      <c r="D13" s="187"/>
      <c r="E13" s="187"/>
      <c r="F13" s="187"/>
      <c r="G13" s="187"/>
      <c r="H13" s="182"/>
      <c r="I13" s="182"/>
      <c r="J13" s="192"/>
      <c r="K13" s="182"/>
      <c r="L13" s="2"/>
      <c r="N13" s="540"/>
    </row>
    <row r="14" spans="1:14" ht="15" thickBot="1">
      <c r="A14" s="29"/>
      <c r="B14" s="82"/>
      <c r="C14" s="128"/>
      <c r="D14" s="29"/>
      <c r="E14" s="29"/>
      <c r="F14" s="29"/>
      <c r="G14" s="29"/>
      <c r="H14" s="29"/>
      <c r="I14" s="29"/>
      <c r="J14" s="82"/>
      <c r="K14"/>
      <c r="L14" s="2"/>
      <c r="N14" s="540"/>
    </row>
    <row r="15" spans="1:23" ht="52.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1360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3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43.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9" t="s">
        <v>7</v>
      </c>
      <c r="B18" s="56" t="s">
        <v>836</v>
      </c>
      <c r="C18" s="56" t="s">
        <v>838</v>
      </c>
      <c r="D18" s="51" t="s">
        <v>920</v>
      </c>
      <c r="E18" s="51"/>
      <c r="F18" s="51" t="s">
        <v>234</v>
      </c>
      <c r="G18" s="51" t="s">
        <v>838</v>
      </c>
      <c r="H18" s="302" t="s">
        <v>1285</v>
      </c>
      <c r="I18" s="42">
        <v>83903865</v>
      </c>
      <c r="J18" s="4" t="s">
        <v>12</v>
      </c>
      <c r="K18" s="76">
        <v>0.9</v>
      </c>
      <c r="L18" s="91"/>
      <c r="M18" s="12">
        <f>880-473</f>
        <v>407</v>
      </c>
      <c r="N18" s="12">
        <f>4082-2179</f>
        <v>1903</v>
      </c>
      <c r="O18" s="12">
        <f aca="true" t="shared" si="0" ref="O18:O49">M18+N18</f>
        <v>2310</v>
      </c>
      <c r="P18" s="91"/>
      <c r="Q18" s="12">
        <f>880-473</f>
        <v>407</v>
      </c>
      <c r="R18" s="12">
        <f>4082-2179</f>
        <v>1903</v>
      </c>
      <c r="S18" s="12">
        <f aca="true" t="shared" si="1" ref="S18:S81">Q18+R18</f>
        <v>2310</v>
      </c>
      <c r="T18" s="91"/>
      <c r="U18" s="12">
        <f>M18+Q18</f>
        <v>814</v>
      </c>
      <c r="V18" s="12">
        <f>N18+R18</f>
        <v>3806</v>
      </c>
      <c r="W18" s="12">
        <f aca="true" t="shared" si="2" ref="W18:W81">U18+V18</f>
        <v>4620</v>
      </c>
    </row>
    <row r="19" spans="1:23" ht="29.25">
      <c r="A19" s="239" t="s">
        <v>7</v>
      </c>
      <c r="B19" s="56" t="s">
        <v>836</v>
      </c>
      <c r="C19" s="56" t="s">
        <v>870</v>
      </c>
      <c r="D19" s="51"/>
      <c r="E19" s="51" t="s">
        <v>141</v>
      </c>
      <c r="F19" s="51" t="s">
        <v>234</v>
      </c>
      <c r="G19" s="51" t="s">
        <v>838</v>
      </c>
      <c r="H19" s="302" t="s">
        <v>872</v>
      </c>
      <c r="I19" s="42">
        <v>83907812</v>
      </c>
      <c r="J19" s="4" t="s">
        <v>12</v>
      </c>
      <c r="K19" s="76">
        <v>0.7</v>
      </c>
      <c r="L19" s="91"/>
      <c r="M19" s="12">
        <f>424-225</f>
        <v>199</v>
      </c>
      <c r="N19" s="12">
        <f>1851-987</f>
        <v>864</v>
      </c>
      <c r="O19" s="12">
        <f t="shared" si="0"/>
        <v>1063</v>
      </c>
      <c r="P19" s="91"/>
      <c r="Q19" s="12">
        <f>424-225</f>
        <v>199</v>
      </c>
      <c r="R19" s="12">
        <f>1851-987</f>
        <v>864</v>
      </c>
      <c r="S19" s="12">
        <f t="shared" si="1"/>
        <v>1063</v>
      </c>
      <c r="T19" s="91"/>
      <c r="U19" s="12">
        <f aca="true" t="shared" si="3" ref="U19:U82">M19+Q19</f>
        <v>398</v>
      </c>
      <c r="V19" s="12">
        <f aca="true" t="shared" si="4" ref="V19:V82">N19+R19</f>
        <v>1728</v>
      </c>
      <c r="W19" s="12">
        <f t="shared" si="2"/>
        <v>2126</v>
      </c>
    </row>
    <row r="20" spans="1:23" ht="29.25">
      <c r="A20" s="239" t="s">
        <v>7</v>
      </c>
      <c r="B20" s="56" t="s">
        <v>836</v>
      </c>
      <c r="C20" s="56" t="s">
        <v>838</v>
      </c>
      <c r="D20" s="51" t="s">
        <v>1362</v>
      </c>
      <c r="E20" s="51">
        <v>34</v>
      </c>
      <c r="F20" s="51" t="s">
        <v>234</v>
      </c>
      <c r="G20" s="51" t="s">
        <v>838</v>
      </c>
      <c r="H20" s="302" t="s">
        <v>873</v>
      </c>
      <c r="I20" s="42">
        <v>83903909</v>
      </c>
      <c r="J20" s="4" t="s">
        <v>12</v>
      </c>
      <c r="K20" s="76">
        <v>0.7</v>
      </c>
      <c r="L20" s="91"/>
      <c r="M20" s="12">
        <f>124-66</f>
        <v>58</v>
      </c>
      <c r="N20" s="12">
        <f>508-271</f>
        <v>237</v>
      </c>
      <c r="O20" s="12">
        <f t="shared" si="0"/>
        <v>295</v>
      </c>
      <c r="P20" s="91"/>
      <c r="Q20" s="12">
        <f>124-66</f>
        <v>58</v>
      </c>
      <c r="R20" s="12">
        <f>508-271</f>
        <v>237</v>
      </c>
      <c r="S20" s="12">
        <f t="shared" si="1"/>
        <v>295</v>
      </c>
      <c r="T20" s="91"/>
      <c r="U20" s="12">
        <f t="shared" si="3"/>
        <v>116</v>
      </c>
      <c r="V20" s="12">
        <f t="shared" si="4"/>
        <v>474</v>
      </c>
      <c r="W20" s="12">
        <f t="shared" si="2"/>
        <v>590</v>
      </c>
    </row>
    <row r="21" spans="1:23" ht="29.25">
      <c r="A21" s="239" t="s">
        <v>7</v>
      </c>
      <c r="B21" s="56" t="s">
        <v>836</v>
      </c>
      <c r="C21" s="56" t="s">
        <v>837</v>
      </c>
      <c r="D21" s="51"/>
      <c r="E21" s="51"/>
      <c r="F21" s="51" t="s">
        <v>234</v>
      </c>
      <c r="G21" s="51" t="s">
        <v>838</v>
      </c>
      <c r="H21" s="302" t="s">
        <v>839</v>
      </c>
      <c r="I21" s="42">
        <v>94964869</v>
      </c>
      <c r="J21" s="4" t="s">
        <v>12</v>
      </c>
      <c r="K21" s="76">
        <v>2.7</v>
      </c>
      <c r="L21" s="91"/>
      <c r="M21" s="12">
        <f>707-119</f>
        <v>588</v>
      </c>
      <c r="N21" s="12">
        <f>2855-388</f>
        <v>2467</v>
      </c>
      <c r="O21" s="28">
        <f t="shared" si="0"/>
        <v>3055</v>
      </c>
      <c r="P21" s="91"/>
      <c r="Q21" s="12">
        <f>707-119</f>
        <v>588</v>
      </c>
      <c r="R21" s="12">
        <f>2855-388</f>
        <v>2467</v>
      </c>
      <c r="S21" s="28">
        <f t="shared" si="1"/>
        <v>3055</v>
      </c>
      <c r="T21" s="91"/>
      <c r="U21" s="12">
        <f t="shared" si="3"/>
        <v>1176</v>
      </c>
      <c r="V21" s="12">
        <f t="shared" si="4"/>
        <v>4934</v>
      </c>
      <c r="W21" s="28">
        <f t="shared" si="2"/>
        <v>6110</v>
      </c>
    </row>
    <row r="22" spans="1:23" ht="29.25">
      <c r="A22" s="239" t="s">
        <v>7</v>
      </c>
      <c r="B22" s="56" t="s">
        <v>836</v>
      </c>
      <c r="C22" s="56" t="s">
        <v>840</v>
      </c>
      <c r="D22" s="51"/>
      <c r="E22" s="51" t="s">
        <v>141</v>
      </c>
      <c r="F22" s="51" t="s">
        <v>234</v>
      </c>
      <c r="G22" s="51" t="s">
        <v>838</v>
      </c>
      <c r="H22" s="302" t="s">
        <v>841</v>
      </c>
      <c r="I22" s="42">
        <v>83903826</v>
      </c>
      <c r="J22" s="4" t="s">
        <v>12</v>
      </c>
      <c r="K22" s="76">
        <v>1.1</v>
      </c>
      <c r="L22" s="91"/>
      <c r="M22" s="12">
        <f>450-240</f>
        <v>210</v>
      </c>
      <c r="N22" s="12">
        <f>1879-1011</f>
        <v>868</v>
      </c>
      <c r="O22" s="12">
        <f t="shared" si="0"/>
        <v>1078</v>
      </c>
      <c r="P22" s="91"/>
      <c r="Q22" s="12">
        <f>450-240</f>
        <v>210</v>
      </c>
      <c r="R22" s="12">
        <f>1879-1011</f>
        <v>868</v>
      </c>
      <c r="S22" s="12">
        <f t="shared" si="1"/>
        <v>1078</v>
      </c>
      <c r="T22" s="91"/>
      <c r="U22" s="12">
        <f t="shared" si="3"/>
        <v>420</v>
      </c>
      <c r="V22" s="12">
        <f t="shared" si="4"/>
        <v>1736</v>
      </c>
      <c r="W22" s="12">
        <f t="shared" si="2"/>
        <v>2156</v>
      </c>
    </row>
    <row r="23" spans="1:23" ht="29.25">
      <c r="A23" s="239" t="s">
        <v>7</v>
      </c>
      <c r="B23" s="56" t="s">
        <v>836</v>
      </c>
      <c r="C23" s="56" t="s">
        <v>840</v>
      </c>
      <c r="D23" s="51"/>
      <c r="E23" s="51" t="s">
        <v>671</v>
      </c>
      <c r="F23" s="51" t="s">
        <v>234</v>
      </c>
      <c r="G23" s="51" t="s">
        <v>838</v>
      </c>
      <c r="H23" s="302" t="s">
        <v>842</v>
      </c>
      <c r="I23" s="42">
        <v>83903914</v>
      </c>
      <c r="J23" s="4" t="s">
        <v>12</v>
      </c>
      <c r="K23" s="76">
        <v>1.2</v>
      </c>
      <c r="L23" s="91"/>
      <c r="M23" s="12">
        <f>626-340</f>
        <v>286</v>
      </c>
      <c r="N23" s="12">
        <f>2700-1416</f>
        <v>1284</v>
      </c>
      <c r="O23" s="12">
        <f t="shared" si="0"/>
        <v>1570</v>
      </c>
      <c r="P23" s="91"/>
      <c r="Q23" s="12">
        <f>626-340</f>
        <v>286</v>
      </c>
      <c r="R23" s="12">
        <f>2700-1416</f>
        <v>1284</v>
      </c>
      <c r="S23" s="12">
        <f t="shared" si="1"/>
        <v>1570</v>
      </c>
      <c r="T23" s="91"/>
      <c r="U23" s="12">
        <f t="shared" si="3"/>
        <v>572</v>
      </c>
      <c r="V23" s="12">
        <f t="shared" si="4"/>
        <v>2568</v>
      </c>
      <c r="W23" s="12">
        <f t="shared" si="2"/>
        <v>3140</v>
      </c>
    </row>
    <row r="24" spans="1:23" ht="29.25">
      <c r="A24" s="239" t="s">
        <v>7</v>
      </c>
      <c r="B24" s="56" t="s">
        <v>836</v>
      </c>
      <c r="C24" s="56" t="s">
        <v>843</v>
      </c>
      <c r="D24" s="51"/>
      <c r="E24" s="51" t="s">
        <v>671</v>
      </c>
      <c r="F24" s="51" t="s">
        <v>234</v>
      </c>
      <c r="G24" s="51" t="s">
        <v>838</v>
      </c>
      <c r="H24" s="302" t="s">
        <v>844</v>
      </c>
      <c r="I24" s="42">
        <v>94964872</v>
      </c>
      <c r="J24" s="4" t="s">
        <v>12</v>
      </c>
      <c r="K24" s="76">
        <v>1.7</v>
      </c>
      <c r="L24" s="91"/>
      <c r="M24" s="12">
        <f>485-83</f>
        <v>402</v>
      </c>
      <c r="N24" s="12">
        <f>2045-292</f>
        <v>1753</v>
      </c>
      <c r="O24" s="12">
        <f t="shared" si="0"/>
        <v>2155</v>
      </c>
      <c r="P24" s="91"/>
      <c r="Q24" s="12">
        <f>485-83</f>
        <v>402</v>
      </c>
      <c r="R24" s="12">
        <f>2045-292</f>
        <v>1753</v>
      </c>
      <c r="S24" s="12">
        <f t="shared" si="1"/>
        <v>2155</v>
      </c>
      <c r="T24" s="91"/>
      <c r="U24" s="12">
        <f t="shared" si="3"/>
        <v>804</v>
      </c>
      <c r="V24" s="12">
        <f t="shared" si="4"/>
        <v>3506</v>
      </c>
      <c r="W24" s="12">
        <f t="shared" si="2"/>
        <v>4310</v>
      </c>
    </row>
    <row r="25" spans="1:23" ht="29.25">
      <c r="A25" s="239" t="s">
        <v>7</v>
      </c>
      <c r="B25" s="56" t="s">
        <v>836</v>
      </c>
      <c r="C25" s="56" t="s">
        <v>843</v>
      </c>
      <c r="D25" s="51"/>
      <c r="E25" s="51" t="s">
        <v>863</v>
      </c>
      <c r="F25" s="51" t="s">
        <v>234</v>
      </c>
      <c r="G25" s="51" t="s">
        <v>838</v>
      </c>
      <c r="H25" s="302" t="s">
        <v>845</v>
      </c>
      <c r="I25" s="42">
        <v>83907953</v>
      </c>
      <c r="J25" s="4" t="s">
        <v>12</v>
      </c>
      <c r="K25" s="76">
        <v>1.4</v>
      </c>
      <c r="L25" s="91"/>
      <c r="M25" s="12">
        <f>751-408</f>
        <v>343</v>
      </c>
      <c r="N25" s="12">
        <f>3215-1730</f>
        <v>1485</v>
      </c>
      <c r="O25" s="12">
        <f t="shared" si="0"/>
        <v>1828</v>
      </c>
      <c r="P25" s="91"/>
      <c r="Q25" s="12">
        <f>751-408</f>
        <v>343</v>
      </c>
      <c r="R25" s="12">
        <f>3215-1730</f>
        <v>1485</v>
      </c>
      <c r="S25" s="12">
        <f t="shared" si="1"/>
        <v>1828</v>
      </c>
      <c r="T25" s="91"/>
      <c r="U25" s="12">
        <f t="shared" si="3"/>
        <v>686</v>
      </c>
      <c r="V25" s="12">
        <f t="shared" si="4"/>
        <v>2970</v>
      </c>
      <c r="W25" s="12">
        <f t="shared" si="2"/>
        <v>3656</v>
      </c>
    </row>
    <row r="26" spans="1:23" ht="29.25">
      <c r="A26" s="239" t="s">
        <v>7</v>
      </c>
      <c r="B26" s="56" t="s">
        <v>836</v>
      </c>
      <c r="C26" s="56" t="s">
        <v>843</v>
      </c>
      <c r="D26" s="51"/>
      <c r="E26" s="51" t="s">
        <v>307</v>
      </c>
      <c r="F26" s="51" t="s">
        <v>234</v>
      </c>
      <c r="G26" s="51" t="s">
        <v>838</v>
      </c>
      <c r="H26" s="302" t="s">
        <v>846</v>
      </c>
      <c r="I26" s="42">
        <v>83908538</v>
      </c>
      <c r="J26" s="4" t="s">
        <v>12</v>
      </c>
      <c r="K26" s="76">
        <v>1</v>
      </c>
      <c r="L26" s="91"/>
      <c r="M26" s="12">
        <f>700-384</f>
        <v>316</v>
      </c>
      <c r="N26" s="12">
        <f>2974-1599</f>
        <v>1375</v>
      </c>
      <c r="O26" s="12">
        <f t="shared" si="0"/>
        <v>1691</v>
      </c>
      <c r="P26" s="91"/>
      <c r="Q26" s="12">
        <f>700-384</f>
        <v>316</v>
      </c>
      <c r="R26" s="12">
        <f>2974-1599</f>
        <v>1375</v>
      </c>
      <c r="S26" s="12">
        <f t="shared" si="1"/>
        <v>1691</v>
      </c>
      <c r="T26" s="91"/>
      <c r="U26" s="12">
        <f t="shared" si="3"/>
        <v>632</v>
      </c>
      <c r="V26" s="12">
        <f t="shared" si="4"/>
        <v>2750</v>
      </c>
      <c r="W26" s="12">
        <f t="shared" si="2"/>
        <v>3382</v>
      </c>
    </row>
    <row r="27" spans="1:23" ht="29.25">
      <c r="A27" s="239" t="s">
        <v>7</v>
      </c>
      <c r="B27" s="56" t="s">
        <v>836</v>
      </c>
      <c r="C27" s="56" t="s">
        <v>902</v>
      </c>
      <c r="D27" s="51"/>
      <c r="E27" s="51">
        <v>34</v>
      </c>
      <c r="F27" s="51" t="s">
        <v>234</v>
      </c>
      <c r="G27" s="51" t="s">
        <v>838</v>
      </c>
      <c r="H27" s="302" t="s">
        <v>903</v>
      </c>
      <c r="I27" s="42">
        <v>83908699</v>
      </c>
      <c r="J27" s="4" t="s">
        <v>12</v>
      </c>
      <c r="K27" s="76">
        <v>2</v>
      </c>
      <c r="L27" s="91"/>
      <c r="M27" s="12">
        <f>922-539</f>
        <v>383</v>
      </c>
      <c r="N27" s="12">
        <f>4229-2240</f>
        <v>1989</v>
      </c>
      <c r="O27" s="12">
        <f t="shared" si="0"/>
        <v>2372</v>
      </c>
      <c r="P27" s="91"/>
      <c r="Q27" s="12">
        <f>922-539</f>
        <v>383</v>
      </c>
      <c r="R27" s="12">
        <f>4229-2240</f>
        <v>1989</v>
      </c>
      <c r="S27" s="12">
        <f t="shared" si="1"/>
        <v>2372</v>
      </c>
      <c r="T27" s="91"/>
      <c r="U27" s="12">
        <f t="shared" si="3"/>
        <v>766</v>
      </c>
      <c r="V27" s="12">
        <f t="shared" si="4"/>
        <v>3978</v>
      </c>
      <c r="W27" s="12">
        <f t="shared" si="2"/>
        <v>4744</v>
      </c>
    </row>
    <row r="28" spans="1:23" ht="29.25">
      <c r="A28" s="239" t="s">
        <v>7</v>
      </c>
      <c r="B28" s="56" t="s">
        <v>836</v>
      </c>
      <c r="C28" s="56" t="s">
        <v>902</v>
      </c>
      <c r="D28" s="51"/>
      <c r="E28" s="51" t="s">
        <v>671</v>
      </c>
      <c r="F28" s="51" t="s">
        <v>234</v>
      </c>
      <c r="G28" s="51" t="s">
        <v>838</v>
      </c>
      <c r="H28" s="302" t="s">
        <v>904</v>
      </c>
      <c r="I28" s="42">
        <v>83907873</v>
      </c>
      <c r="J28" s="4" t="s">
        <v>12</v>
      </c>
      <c r="K28" s="76">
        <v>1</v>
      </c>
      <c r="L28" s="91"/>
      <c r="M28" s="12">
        <f>324-170</f>
        <v>154</v>
      </c>
      <c r="N28" s="12">
        <f>1350-692</f>
        <v>658</v>
      </c>
      <c r="O28" s="12">
        <f t="shared" si="0"/>
        <v>812</v>
      </c>
      <c r="P28" s="91"/>
      <c r="Q28" s="12">
        <f>324-170</f>
        <v>154</v>
      </c>
      <c r="R28" s="12">
        <f>1350-692</f>
        <v>658</v>
      </c>
      <c r="S28" s="12">
        <f t="shared" si="1"/>
        <v>812</v>
      </c>
      <c r="T28" s="91"/>
      <c r="U28" s="12">
        <f t="shared" si="3"/>
        <v>308</v>
      </c>
      <c r="V28" s="12">
        <f t="shared" si="4"/>
        <v>1316</v>
      </c>
      <c r="W28" s="12">
        <f t="shared" si="2"/>
        <v>1624</v>
      </c>
    </row>
    <row r="29" spans="1:23" ht="29.25">
      <c r="A29" s="239" t="s">
        <v>7</v>
      </c>
      <c r="B29" s="56" t="s">
        <v>836</v>
      </c>
      <c r="C29" s="56" t="s">
        <v>905</v>
      </c>
      <c r="D29" s="51"/>
      <c r="E29" s="51"/>
      <c r="F29" s="51" t="s">
        <v>234</v>
      </c>
      <c r="G29" s="51" t="s">
        <v>838</v>
      </c>
      <c r="H29" s="302" t="s">
        <v>906</v>
      </c>
      <c r="I29" s="42">
        <v>83903142</v>
      </c>
      <c r="J29" s="4" t="s">
        <v>12</v>
      </c>
      <c r="K29" s="76">
        <v>0.8</v>
      </c>
      <c r="L29" s="91"/>
      <c r="M29" s="12">
        <f>1026-550</f>
        <v>476</v>
      </c>
      <c r="N29" s="12">
        <f>4100-2160</f>
        <v>1940</v>
      </c>
      <c r="O29" s="12">
        <f t="shared" si="0"/>
        <v>2416</v>
      </c>
      <c r="P29" s="91"/>
      <c r="Q29" s="12">
        <f>1026-550</f>
        <v>476</v>
      </c>
      <c r="R29" s="12">
        <f>4100-2160</f>
        <v>1940</v>
      </c>
      <c r="S29" s="12">
        <f t="shared" si="1"/>
        <v>2416</v>
      </c>
      <c r="T29" s="91"/>
      <c r="U29" s="12">
        <f t="shared" si="3"/>
        <v>952</v>
      </c>
      <c r="V29" s="12">
        <f t="shared" si="4"/>
        <v>3880</v>
      </c>
      <c r="W29" s="12">
        <f t="shared" si="2"/>
        <v>4832</v>
      </c>
    </row>
    <row r="30" spans="1:23" ht="29.25">
      <c r="A30" s="239" t="s">
        <v>7</v>
      </c>
      <c r="B30" s="56" t="s">
        <v>836</v>
      </c>
      <c r="C30" s="56" t="s">
        <v>907</v>
      </c>
      <c r="D30" s="51"/>
      <c r="E30" s="51" t="s">
        <v>141</v>
      </c>
      <c r="F30" s="51" t="s">
        <v>234</v>
      </c>
      <c r="G30" s="51" t="s">
        <v>838</v>
      </c>
      <c r="H30" s="302" t="s">
        <v>908</v>
      </c>
      <c r="I30" s="42">
        <v>83907922</v>
      </c>
      <c r="J30" s="4" t="s">
        <v>12</v>
      </c>
      <c r="K30" s="76">
        <v>0.9</v>
      </c>
      <c r="L30" s="91"/>
      <c r="M30" s="12">
        <f>993-484</f>
        <v>509</v>
      </c>
      <c r="N30" s="12">
        <f>3844-1644</f>
        <v>2200</v>
      </c>
      <c r="O30" s="12">
        <f t="shared" si="0"/>
        <v>2709</v>
      </c>
      <c r="P30" s="91"/>
      <c r="Q30" s="12">
        <f>993-484</f>
        <v>509</v>
      </c>
      <c r="R30" s="12">
        <f>3844-1644</f>
        <v>2200</v>
      </c>
      <c r="S30" s="12">
        <f t="shared" si="1"/>
        <v>2709</v>
      </c>
      <c r="T30" s="91"/>
      <c r="U30" s="12">
        <f t="shared" si="3"/>
        <v>1018</v>
      </c>
      <c r="V30" s="12">
        <f t="shared" si="4"/>
        <v>4400</v>
      </c>
      <c r="W30" s="12">
        <f t="shared" si="2"/>
        <v>5418</v>
      </c>
    </row>
    <row r="31" spans="1:23" ht="29.25">
      <c r="A31" s="239" t="s">
        <v>7</v>
      </c>
      <c r="B31" s="56" t="s">
        <v>836</v>
      </c>
      <c r="C31" s="56" t="s">
        <v>907</v>
      </c>
      <c r="D31" s="51"/>
      <c r="E31" s="51" t="s">
        <v>671</v>
      </c>
      <c r="F31" s="51" t="s">
        <v>234</v>
      </c>
      <c r="G31" s="51" t="s">
        <v>838</v>
      </c>
      <c r="H31" s="302" t="s">
        <v>909</v>
      </c>
      <c r="I31" s="42">
        <v>83905042</v>
      </c>
      <c r="J31" s="4" t="s">
        <v>12</v>
      </c>
      <c r="K31" s="76">
        <v>1.3</v>
      </c>
      <c r="L31" s="91"/>
      <c r="M31" s="12">
        <f>1020-554</f>
        <v>466</v>
      </c>
      <c r="N31" s="12">
        <f>4321-2331</f>
        <v>1990</v>
      </c>
      <c r="O31" s="12">
        <f t="shared" si="0"/>
        <v>2456</v>
      </c>
      <c r="P31" s="91"/>
      <c r="Q31" s="12">
        <f>1020-554</f>
        <v>466</v>
      </c>
      <c r="R31" s="12">
        <f>4321-2331</f>
        <v>1990</v>
      </c>
      <c r="S31" s="12">
        <f t="shared" si="1"/>
        <v>2456</v>
      </c>
      <c r="T31" s="91"/>
      <c r="U31" s="12">
        <f t="shared" si="3"/>
        <v>932</v>
      </c>
      <c r="V31" s="12">
        <f t="shared" si="4"/>
        <v>3980</v>
      </c>
      <c r="W31" s="12">
        <f t="shared" si="2"/>
        <v>4912</v>
      </c>
    </row>
    <row r="32" spans="1:23" ht="29.25">
      <c r="A32" s="239" t="s">
        <v>7</v>
      </c>
      <c r="B32" s="56" t="s">
        <v>836</v>
      </c>
      <c r="C32" s="56" t="s">
        <v>907</v>
      </c>
      <c r="D32" s="51"/>
      <c r="E32" s="51" t="s">
        <v>863</v>
      </c>
      <c r="F32" s="51" t="s">
        <v>234</v>
      </c>
      <c r="G32" s="51" t="s">
        <v>838</v>
      </c>
      <c r="H32" s="302" t="s">
        <v>910</v>
      </c>
      <c r="I32" s="42">
        <v>83907882</v>
      </c>
      <c r="J32" s="4" t="s">
        <v>12</v>
      </c>
      <c r="K32" s="76">
        <v>1.2</v>
      </c>
      <c r="L32" s="91"/>
      <c r="M32" s="12">
        <f>753-411</f>
        <v>342</v>
      </c>
      <c r="N32" s="12">
        <f>3168-1713</f>
        <v>1455</v>
      </c>
      <c r="O32" s="12">
        <f t="shared" si="0"/>
        <v>1797</v>
      </c>
      <c r="P32" s="91"/>
      <c r="Q32" s="12">
        <f>753-411</f>
        <v>342</v>
      </c>
      <c r="R32" s="12">
        <f>3168-1713</f>
        <v>1455</v>
      </c>
      <c r="S32" s="12">
        <f t="shared" si="1"/>
        <v>1797</v>
      </c>
      <c r="T32" s="91"/>
      <c r="U32" s="12">
        <f t="shared" si="3"/>
        <v>684</v>
      </c>
      <c r="V32" s="12">
        <f t="shared" si="4"/>
        <v>2910</v>
      </c>
      <c r="W32" s="12">
        <f t="shared" si="2"/>
        <v>3594</v>
      </c>
    </row>
    <row r="33" spans="1:23" ht="29.25">
      <c r="A33" s="239" t="s">
        <v>7</v>
      </c>
      <c r="B33" s="56" t="s">
        <v>836</v>
      </c>
      <c r="C33" s="56" t="s">
        <v>911</v>
      </c>
      <c r="D33" s="51"/>
      <c r="E33" s="51"/>
      <c r="F33" s="51" t="s">
        <v>234</v>
      </c>
      <c r="G33" s="51" t="s">
        <v>838</v>
      </c>
      <c r="H33" s="302" t="s">
        <v>912</v>
      </c>
      <c r="I33" s="42">
        <v>83904308</v>
      </c>
      <c r="J33" s="4" t="s">
        <v>12</v>
      </c>
      <c r="K33" s="76">
        <v>1.2</v>
      </c>
      <c r="L33" s="91"/>
      <c r="M33" s="12">
        <f>567-293</f>
        <v>274</v>
      </c>
      <c r="N33" s="12">
        <f>3412-1246</f>
        <v>2166</v>
      </c>
      <c r="O33" s="12">
        <f t="shared" si="0"/>
        <v>2440</v>
      </c>
      <c r="P33" s="91"/>
      <c r="Q33" s="12">
        <f>567-293</f>
        <v>274</v>
      </c>
      <c r="R33" s="12">
        <f>3412-1246</f>
        <v>2166</v>
      </c>
      <c r="S33" s="12">
        <f t="shared" si="1"/>
        <v>2440</v>
      </c>
      <c r="T33" s="91"/>
      <c r="U33" s="12">
        <f t="shared" si="3"/>
        <v>548</v>
      </c>
      <c r="V33" s="12">
        <f t="shared" si="4"/>
        <v>4332</v>
      </c>
      <c r="W33" s="12">
        <f t="shared" si="2"/>
        <v>4880</v>
      </c>
    </row>
    <row r="34" spans="1:23" ht="29.25">
      <c r="A34" s="239" t="s">
        <v>7</v>
      </c>
      <c r="B34" s="56" t="s">
        <v>836</v>
      </c>
      <c r="C34" s="56" t="s">
        <v>838</v>
      </c>
      <c r="D34" s="51" t="s">
        <v>225</v>
      </c>
      <c r="E34" s="51">
        <v>20</v>
      </c>
      <c r="F34" s="51" t="s">
        <v>234</v>
      </c>
      <c r="G34" s="51" t="s">
        <v>838</v>
      </c>
      <c r="H34" s="302" t="s">
        <v>913</v>
      </c>
      <c r="I34" s="42">
        <v>93509593</v>
      </c>
      <c r="J34" s="4" t="s">
        <v>12</v>
      </c>
      <c r="K34" s="76">
        <v>5.5</v>
      </c>
      <c r="L34" s="91"/>
      <c r="M34" s="12">
        <f>4613-2604</f>
        <v>2009</v>
      </c>
      <c r="N34" s="12">
        <f>20294-11210</f>
        <v>9084</v>
      </c>
      <c r="O34" s="12">
        <f t="shared" si="0"/>
        <v>11093</v>
      </c>
      <c r="P34" s="91"/>
      <c r="Q34" s="12">
        <f>4613-2604</f>
        <v>2009</v>
      </c>
      <c r="R34" s="12">
        <f>20294-11210</f>
        <v>9084</v>
      </c>
      <c r="S34" s="12">
        <f t="shared" si="1"/>
        <v>11093</v>
      </c>
      <c r="T34" s="91"/>
      <c r="U34" s="12">
        <f t="shared" si="3"/>
        <v>4018</v>
      </c>
      <c r="V34" s="12">
        <f t="shared" si="4"/>
        <v>18168</v>
      </c>
      <c r="W34" s="12">
        <f t="shared" si="2"/>
        <v>22186</v>
      </c>
    </row>
    <row r="35" spans="1:23" ht="29.25">
      <c r="A35" s="239" t="s">
        <v>7</v>
      </c>
      <c r="B35" s="56" t="s">
        <v>836</v>
      </c>
      <c r="C35" s="56" t="s">
        <v>838</v>
      </c>
      <c r="D35" s="51" t="s">
        <v>369</v>
      </c>
      <c r="E35" s="51">
        <v>3</v>
      </c>
      <c r="F35" s="51" t="s">
        <v>234</v>
      </c>
      <c r="G35" s="51" t="s">
        <v>838</v>
      </c>
      <c r="H35" s="302" t="s">
        <v>914</v>
      </c>
      <c r="I35" s="42">
        <v>94348250</v>
      </c>
      <c r="J35" s="4" t="s">
        <v>12</v>
      </c>
      <c r="K35" s="76">
        <v>3.3</v>
      </c>
      <c r="L35" s="91"/>
      <c r="M35" s="12">
        <f>671-339</f>
        <v>332</v>
      </c>
      <c r="N35" s="12">
        <f>2783-1343</f>
        <v>1440</v>
      </c>
      <c r="O35" s="12">
        <f t="shared" si="0"/>
        <v>1772</v>
      </c>
      <c r="P35" s="91"/>
      <c r="Q35" s="12">
        <f>671-339</f>
        <v>332</v>
      </c>
      <c r="R35" s="12">
        <f>2783-1343</f>
        <v>1440</v>
      </c>
      <c r="S35" s="12">
        <f t="shared" si="1"/>
        <v>1772</v>
      </c>
      <c r="T35" s="91"/>
      <c r="U35" s="12">
        <f t="shared" si="3"/>
        <v>664</v>
      </c>
      <c r="V35" s="12">
        <f t="shared" si="4"/>
        <v>2880</v>
      </c>
      <c r="W35" s="12">
        <f t="shared" si="2"/>
        <v>3544</v>
      </c>
    </row>
    <row r="36" spans="1:23" ht="29.25">
      <c r="A36" s="239" t="s">
        <v>7</v>
      </c>
      <c r="B36" s="56" t="s">
        <v>836</v>
      </c>
      <c r="C36" s="56" t="s">
        <v>838</v>
      </c>
      <c r="D36" s="51" t="s">
        <v>1361</v>
      </c>
      <c r="E36" s="51">
        <v>8</v>
      </c>
      <c r="F36" s="51" t="s">
        <v>234</v>
      </c>
      <c r="G36" s="51" t="s">
        <v>838</v>
      </c>
      <c r="H36" s="302" t="s">
        <v>915</v>
      </c>
      <c r="I36" s="42">
        <v>83903880</v>
      </c>
      <c r="J36" s="4" t="s">
        <v>12</v>
      </c>
      <c r="K36" s="76">
        <v>0.5</v>
      </c>
      <c r="L36" s="91"/>
      <c r="M36" s="12">
        <f>209-112</f>
        <v>97</v>
      </c>
      <c r="N36" s="12">
        <f>901-479</f>
        <v>422</v>
      </c>
      <c r="O36" s="12">
        <f t="shared" si="0"/>
        <v>519</v>
      </c>
      <c r="P36" s="91"/>
      <c r="Q36" s="12">
        <f>209-112</f>
        <v>97</v>
      </c>
      <c r="R36" s="12">
        <f>901-479</f>
        <v>422</v>
      </c>
      <c r="S36" s="12">
        <f t="shared" si="1"/>
        <v>519</v>
      </c>
      <c r="T36" s="91"/>
      <c r="U36" s="12">
        <f t="shared" si="3"/>
        <v>194</v>
      </c>
      <c r="V36" s="12">
        <f t="shared" si="4"/>
        <v>844</v>
      </c>
      <c r="W36" s="12">
        <f t="shared" si="2"/>
        <v>1038</v>
      </c>
    </row>
    <row r="37" spans="1:23" ht="29.25">
      <c r="A37" s="239" t="s">
        <v>7</v>
      </c>
      <c r="B37" s="56" t="s">
        <v>836</v>
      </c>
      <c r="C37" s="56" t="s">
        <v>838</v>
      </c>
      <c r="D37" s="51"/>
      <c r="E37" s="51"/>
      <c r="F37" s="51" t="s">
        <v>234</v>
      </c>
      <c r="G37" s="51" t="s">
        <v>838</v>
      </c>
      <c r="H37" s="302" t="s">
        <v>916</v>
      </c>
      <c r="I37" s="42">
        <v>94348249</v>
      </c>
      <c r="J37" s="4" t="s">
        <v>12</v>
      </c>
      <c r="K37" s="76">
        <v>4.9</v>
      </c>
      <c r="L37" s="91"/>
      <c r="M37" s="12">
        <f>3867-2137</f>
        <v>1730</v>
      </c>
      <c r="N37" s="12">
        <f>16133-8349</f>
        <v>7784</v>
      </c>
      <c r="O37" s="12">
        <f t="shared" si="0"/>
        <v>9514</v>
      </c>
      <c r="P37" s="91"/>
      <c r="Q37" s="12">
        <f>3867-2137</f>
        <v>1730</v>
      </c>
      <c r="R37" s="12">
        <f>16133-8349</f>
        <v>7784</v>
      </c>
      <c r="S37" s="12">
        <f t="shared" si="1"/>
        <v>9514</v>
      </c>
      <c r="T37" s="91"/>
      <c r="U37" s="12">
        <f t="shared" si="3"/>
        <v>3460</v>
      </c>
      <c r="V37" s="12">
        <f t="shared" si="4"/>
        <v>15568</v>
      </c>
      <c r="W37" s="12">
        <f t="shared" si="2"/>
        <v>19028</v>
      </c>
    </row>
    <row r="38" spans="1:23" ht="29.25">
      <c r="A38" s="239" t="s">
        <v>7</v>
      </c>
      <c r="B38" s="56" t="s">
        <v>836</v>
      </c>
      <c r="C38" s="56" t="s">
        <v>838</v>
      </c>
      <c r="D38" s="51"/>
      <c r="E38" s="51" t="s">
        <v>671</v>
      </c>
      <c r="F38" s="51" t="s">
        <v>234</v>
      </c>
      <c r="G38" s="51" t="s">
        <v>838</v>
      </c>
      <c r="H38" s="302" t="s">
        <v>917</v>
      </c>
      <c r="I38" s="42">
        <v>83903895</v>
      </c>
      <c r="J38" s="4" t="s">
        <v>12</v>
      </c>
      <c r="K38" s="76">
        <v>1</v>
      </c>
      <c r="L38" s="91"/>
      <c r="M38" s="12">
        <f>379-199</f>
        <v>180</v>
      </c>
      <c r="N38" s="12">
        <f>1655-870</f>
        <v>785</v>
      </c>
      <c r="O38" s="12">
        <f t="shared" si="0"/>
        <v>965</v>
      </c>
      <c r="P38" s="91"/>
      <c r="Q38" s="12">
        <f>379-199</f>
        <v>180</v>
      </c>
      <c r="R38" s="12">
        <f>1655-870</f>
        <v>785</v>
      </c>
      <c r="S38" s="12">
        <f t="shared" si="1"/>
        <v>965</v>
      </c>
      <c r="T38" s="91"/>
      <c r="U38" s="12">
        <f t="shared" si="3"/>
        <v>360</v>
      </c>
      <c r="V38" s="12">
        <f t="shared" si="4"/>
        <v>1570</v>
      </c>
      <c r="W38" s="12">
        <f t="shared" si="2"/>
        <v>1930</v>
      </c>
    </row>
    <row r="39" spans="1:23" ht="29.25">
      <c r="A39" s="239" t="s">
        <v>7</v>
      </c>
      <c r="B39" s="56" t="s">
        <v>836</v>
      </c>
      <c r="C39" s="56" t="s">
        <v>838</v>
      </c>
      <c r="D39" s="51" t="s">
        <v>1689</v>
      </c>
      <c r="E39" s="51"/>
      <c r="F39" s="51" t="s">
        <v>234</v>
      </c>
      <c r="G39" s="51" t="s">
        <v>838</v>
      </c>
      <c r="H39" s="302" t="s">
        <v>918</v>
      </c>
      <c r="I39" s="42">
        <v>91473111</v>
      </c>
      <c r="J39" s="4" t="s">
        <v>12</v>
      </c>
      <c r="K39" s="76">
        <v>2.5</v>
      </c>
      <c r="L39" s="91"/>
      <c r="M39" s="12">
        <f>4396-3309</f>
        <v>1087</v>
      </c>
      <c r="N39" s="12">
        <f>17646-13171</f>
        <v>4475</v>
      </c>
      <c r="O39" s="12">
        <f t="shared" si="0"/>
        <v>5562</v>
      </c>
      <c r="P39" s="91"/>
      <c r="Q39" s="12">
        <f>4396-3309</f>
        <v>1087</v>
      </c>
      <c r="R39" s="12">
        <f>17646-13171</f>
        <v>4475</v>
      </c>
      <c r="S39" s="12">
        <f t="shared" si="1"/>
        <v>5562</v>
      </c>
      <c r="T39" s="91"/>
      <c r="U39" s="12">
        <f t="shared" si="3"/>
        <v>2174</v>
      </c>
      <c r="V39" s="12">
        <f t="shared" si="4"/>
        <v>8950</v>
      </c>
      <c r="W39" s="12">
        <f t="shared" si="2"/>
        <v>11124</v>
      </c>
    </row>
    <row r="40" spans="1:23" ht="29.25">
      <c r="A40" s="239" t="s">
        <v>7</v>
      </c>
      <c r="B40" s="56" t="s">
        <v>836</v>
      </c>
      <c r="C40" s="56" t="s">
        <v>838</v>
      </c>
      <c r="D40" s="51" t="s">
        <v>1055</v>
      </c>
      <c r="E40" s="51"/>
      <c r="F40" s="51" t="s">
        <v>234</v>
      </c>
      <c r="G40" s="51" t="s">
        <v>838</v>
      </c>
      <c r="H40" s="302" t="s">
        <v>919</v>
      </c>
      <c r="I40" s="42">
        <v>94313222</v>
      </c>
      <c r="J40" s="4" t="s">
        <v>12</v>
      </c>
      <c r="K40" s="76">
        <v>4.7</v>
      </c>
      <c r="L40" s="91"/>
      <c r="M40" s="12">
        <f>1268-618</f>
        <v>650</v>
      </c>
      <c r="N40" s="12">
        <f>5275-2525</f>
        <v>2750</v>
      </c>
      <c r="O40" s="12">
        <f t="shared" si="0"/>
        <v>3400</v>
      </c>
      <c r="P40" s="91"/>
      <c r="Q40" s="12">
        <f>1268-618</f>
        <v>650</v>
      </c>
      <c r="R40" s="12">
        <f>5275-2525</f>
        <v>2750</v>
      </c>
      <c r="S40" s="12">
        <f t="shared" si="1"/>
        <v>3400</v>
      </c>
      <c r="T40" s="91"/>
      <c r="U40" s="12">
        <f t="shared" si="3"/>
        <v>1300</v>
      </c>
      <c r="V40" s="12">
        <f t="shared" si="4"/>
        <v>5500</v>
      </c>
      <c r="W40" s="12">
        <f t="shared" si="2"/>
        <v>6800</v>
      </c>
    </row>
    <row r="41" spans="1:23" ht="29.25">
      <c r="A41" s="239" t="s">
        <v>7</v>
      </c>
      <c r="B41" s="56" t="s">
        <v>836</v>
      </c>
      <c r="C41" s="56" t="s">
        <v>838</v>
      </c>
      <c r="D41" s="51" t="s">
        <v>921</v>
      </c>
      <c r="E41" s="51"/>
      <c r="F41" s="51" t="s">
        <v>234</v>
      </c>
      <c r="G41" s="51" t="s">
        <v>838</v>
      </c>
      <c r="H41" s="302" t="s">
        <v>922</v>
      </c>
      <c r="I41" s="42">
        <v>94313629</v>
      </c>
      <c r="J41" s="4" t="s">
        <v>12</v>
      </c>
      <c r="K41" s="76">
        <v>5</v>
      </c>
      <c r="L41" s="91"/>
      <c r="M41" s="12">
        <f>3236-1572</f>
        <v>1664</v>
      </c>
      <c r="N41" s="12">
        <f>13133-6328</f>
        <v>6805</v>
      </c>
      <c r="O41" s="12">
        <f t="shared" si="0"/>
        <v>8469</v>
      </c>
      <c r="P41" s="91"/>
      <c r="Q41" s="12">
        <f>3236-1572</f>
        <v>1664</v>
      </c>
      <c r="R41" s="12">
        <f>13133-6328</f>
        <v>6805</v>
      </c>
      <c r="S41" s="12">
        <f t="shared" si="1"/>
        <v>8469</v>
      </c>
      <c r="T41" s="91"/>
      <c r="U41" s="12">
        <f t="shared" si="3"/>
        <v>3328</v>
      </c>
      <c r="V41" s="12">
        <f t="shared" si="4"/>
        <v>13610</v>
      </c>
      <c r="W41" s="12">
        <f t="shared" si="2"/>
        <v>16938</v>
      </c>
    </row>
    <row r="42" spans="1:23" ht="29.25">
      <c r="A42" s="239" t="s">
        <v>7</v>
      </c>
      <c r="B42" s="56" t="s">
        <v>836</v>
      </c>
      <c r="C42" s="56" t="s">
        <v>838</v>
      </c>
      <c r="D42" s="51"/>
      <c r="E42" s="51"/>
      <c r="F42" s="51" t="s">
        <v>234</v>
      </c>
      <c r="G42" s="51" t="s">
        <v>838</v>
      </c>
      <c r="H42" s="302" t="s">
        <v>923</v>
      </c>
      <c r="I42" s="42">
        <v>83903902</v>
      </c>
      <c r="J42" s="4" t="s">
        <v>12</v>
      </c>
      <c r="K42" s="76">
        <v>1</v>
      </c>
      <c r="L42" s="91"/>
      <c r="M42" s="12">
        <f>2287-741</f>
        <v>1546</v>
      </c>
      <c r="N42" s="12">
        <f>8885-2921</f>
        <v>5964</v>
      </c>
      <c r="O42" s="12">
        <f t="shared" si="0"/>
        <v>7510</v>
      </c>
      <c r="P42" s="91"/>
      <c r="Q42" s="12">
        <f>2287-741</f>
        <v>1546</v>
      </c>
      <c r="R42" s="12">
        <f>8885-2921</f>
        <v>5964</v>
      </c>
      <c r="S42" s="12">
        <f t="shared" si="1"/>
        <v>7510</v>
      </c>
      <c r="T42" s="91"/>
      <c r="U42" s="12">
        <f t="shared" si="3"/>
        <v>3092</v>
      </c>
      <c r="V42" s="12">
        <f t="shared" si="4"/>
        <v>11928</v>
      </c>
      <c r="W42" s="12">
        <f t="shared" si="2"/>
        <v>15020</v>
      </c>
    </row>
    <row r="43" spans="1:23" ht="29.25">
      <c r="A43" s="239" t="s">
        <v>7</v>
      </c>
      <c r="B43" s="56" t="s">
        <v>836</v>
      </c>
      <c r="C43" s="56" t="s">
        <v>847</v>
      </c>
      <c r="D43" s="51"/>
      <c r="E43" s="51"/>
      <c r="F43" s="51" t="s">
        <v>234</v>
      </c>
      <c r="G43" s="51" t="s">
        <v>838</v>
      </c>
      <c r="H43" s="302" t="s">
        <v>924</v>
      </c>
      <c r="I43" s="42">
        <v>83907872</v>
      </c>
      <c r="J43" s="4" t="s">
        <v>12</v>
      </c>
      <c r="K43" s="76">
        <v>0.7</v>
      </c>
      <c r="L43" s="91"/>
      <c r="M43" s="12">
        <f>692-346</f>
        <v>346</v>
      </c>
      <c r="N43" s="12">
        <f>2877-1430</f>
        <v>1447</v>
      </c>
      <c r="O43" s="12">
        <f t="shared" si="0"/>
        <v>1793</v>
      </c>
      <c r="P43" s="91"/>
      <c r="Q43" s="12">
        <f>692-346</f>
        <v>346</v>
      </c>
      <c r="R43" s="12">
        <f>2877-1430</f>
        <v>1447</v>
      </c>
      <c r="S43" s="12">
        <f t="shared" si="1"/>
        <v>1793</v>
      </c>
      <c r="T43" s="91"/>
      <c r="U43" s="12">
        <f t="shared" si="3"/>
        <v>692</v>
      </c>
      <c r="V43" s="12">
        <f t="shared" si="4"/>
        <v>2894</v>
      </c>
      <c r="W43" s="12">
        <f t="shared" si="2"/>
        <v>3586</v>
      </c>
    </row>
    <row r="44" spans="1:23" ht="29.25">
      <c r="A44" s="239" t="s">
        <v>7</v>
      </c>
      <c r="B44" s="56" t="s">
        <v>836</v>
      </c>
      <c r="C44" s="56" t="s">
        <v>925</v>
      </c>
      <c r="D44" s="51"/>
      <c r="E44" s="51"/>
      <c r="F44" s="51" t="s">
        <v>234</v>
      </c>
      <c r="G44" s="51" t="s">
        <v>838</v>
      </c>
      <c r="H44" s="302" t="s">
        <v>926</v>
      </c>
      <c r="I44" s="42">
        <v>83903923</v>
      </c>
      <c r="J44" s="4" t="s">
        <v>12</v>
      </c>
      <c r="K44" s="76">
        <v>1.5</v>
      </c>
      <c r="L44" s="91"/>
      <c r="M44" s="12">
        <f>924-504</f>
        <v>420</v>
      </c>
      <c r="N44" s="12">
        <f>4092-2128</f>
        <v>1964</v>
      </c>
      <c r="O44" s="12">
        <f t="shared" si="0"/>
        <v>2384</v>
      </c>
      <c r="P44" s="91"/>
      <c r="Q44" s="12">
        <f>924-504</f>
        <v>420</v>
      </c>
      <c r="R44" s="12">
        <f>4092-2128</f>
        <v>1964</v>
      </c>
      <c r="S44" s="12">
        <f t="shared" si="1"/>
        <v>2384</v>
      </c>
      <c r="T44" s="91"/>
      <c r="U44" s="12">
        <f t="shared" si="3"/>
        <v>840</v>
      </c>
      <c r="V44" s="12">
        <f t="shared" si="4"/>
        <v>3928</v>
      </c>
      <c r="W44" s="12">
        <f t="shared" si="2"/>
        <v>4768</v>
      </c>
    </row>
    <row r="45" spans="1:23" ht="29.25">
      <c r="A45" s="239" t="s">
        <v>7</v>
      </c>
      <c r="B45" s="56" t="s">
        <v>836</v>
      </c>
      <c r="C45" s="56" t="s">
        <v>847</v>
      </c>
      <c r="D45" s="51"/>
      <c r="E45" s="51"/>
      <c r="F45" s="51" t="s">
        <v>234</v>
      </c>
      <c r="G45" s="51" t="s">
        <v>838</v>
      </c>
      <c r="H45" s="302" t="s">
        <v>927</v>
      </c>
      <c r="I45" s="42">
        <v>93436196</v>
      </c>
      <c r="J45" s="4" t="s">
        <v>12</v>
      </c>
      <c r="K45" s="76">
        <v>0.6</v>
      </c>
      <c r="L45" s="91"/>
      <c r="M45" s="12">
        <f>534-326</f>
        <v>208</v>
      </c>
      <c r="N45" s="12">
        <f>1844-922</f>
        <v>922</v>
      </c>
      <c r="O45" s="12">
        <f t="shared" si="0"/>
        <v>1130</v>
      </c>
      <c r="P45" s="91"/>
      <c r="Q45" s="12">
        <f>534-326</f>
        <v>208</v>
      </c>
      <c r="R45" s="12">
        <f>1844-922</f>
        <v>922</v>
      </c>
      <c r="S45" s="12">
        <f t="shared" si="1"/>
        <v>1130</v>
      </c>
      <c r="T45" s="91"/>
      <c r="U45" s="12">
        <f t="shared" si="3"/>
        <v>416</v>
      </c>
      <c r="V45" s="12">
        <f t="shared" si="4"/>
        <v>1844</v>
      </c>
      <c r="W45" s="12">
        <f t="shared" si="2"/>
        <v>2260</v>
      </c>
    </row>
    <row r="46" spans="1:23" ht="29.25">
      <c r="A46" s="239" t="s">
        <v>7</v>
      </c>
      <c r="B46" s="56" t="s">
        <v>836</v>
      </c>
      <c r="C46" s="56" t="s">
        <v>1686</v>
      </c>
      <c r="D46" s="51"/>
      <c r="E46" s="51"/>
      <c r="F46" s="51" t="s">
        <v>234</v>
      </c>
      <c r="G46" s="51" t="s">
        <v>838</v>
      </c>
      <c r="H46" s="302" t="s">
        <v>928</v>
      </c>
      <c r="I46" s="42">
        <v>83907914</v>
      </c>
      <c r="J46" s="4" t="s">
        <v>12</v>
      </c>
      <c r="K46" s="76">
        <v>3.2</v>
      </c>
      <c r="L46" s="91"/>
      <c r="M46" s="12">
        <f>1277-681</f>
        <v>596</v>
      </c>
      <c r="N46" s="12">
        <f>5366-2860</f>
        <v>2506</v>
      </c>
      <c r="O46" s="12">
        <f t="shared" si="0"/>
        <v>3102</v>
      </c>
      <c r="P46" s="91"/>
      <c r="Q46" s="12">
        <f>1277-681</f>
        <v>596</v>
      </c>
      <c r="R46" s="12">
        <f>5366-2860</f>
        <v>2506</v>
      </c>
      <c r="S46" s="12">
        <f t="shared" si="1"/>
        <v>3102</v>
      </c>
      <c r="T46" s="91"/>
      <c r="U46" s="12">
        <f t="shared" si="3"/>
        <v>1192</v>
      </c>
      <c r="V46" s="12">
        <f t="shared" si="4"/>
        <v>5012</v>
      </c>
      <c r="W46" s="12">
        <f t="shared" si="2"/>
        <v>6204</v>
      </c>
    </row>
    <row r="47" spans="1:23" ht="29.25">
      <c r="A47" s="239" t="s">
        <v>7</v>
      </c>
      <c r="B47" s="56" t="s">
        <v>836</v>
      </c>
      <c r="C47" s="56" t="s">
        <v>929</v>
      </c>
      <c r="D47" s="51"/>
      <c r="E47" s="51" t="s">
        <v>863</v>
      </c>
      <c r="F47" s="51" t="s">
        <v>234</v>
      </c>
      <c r="G47" s="51" t="s">
        <v>838</v>
      </c>
      <c r="H47" s="302" t="s">
        <v>930</v>
      </c>
      <c r="I47" s="42">
        <v>83903689</v>
      </c>
      <c r="J47" s="4" t="s">
        <v>12</v>
      </c>
      <c r="K47" s="76">
        <v>1.5</v>
      </c>
      <c r="L47" s="91"/>
      <c r="M47" s="12">
        <f>942-488</f>
        <v>454</v>
      </c>
      <c r="N47" s="12">
        <f>4032-2094</f>
        <v>1938</v>
      </c>
      <c r="O47" s="12">
        <f t="shared" si="0"/>
        <v>2392</v>
      </c>
      <c r="P47" s="91"/>
      <c r="Q47" s="12">
        <f>942-488</f>
        <v>454</v>
      </c>
      <c r="R47" s="12">
        <f>4032-2094</f>
        <v>1938</v>
      </c>
      <c r="S47" s="12">
        <f t="shared" si="1"/>
        <v>2392</v>
      </c>
      <c r="T47" s="91"/>
      <c r="U47" s="12">
        <f t="shared" si="3"/>
        <v>908</v>
      </c>
      <c r="V47" s="12">
        <f t="shared" si="4"/>
        <v>3876</v>
      </c>
      <c r="W47" s="12">
        <f t="shared" si="2"/>
        <v>4784</v>
      </c>
    </row>
    <row r="48" spans="1:23" ht="29.25">
      <c r="A48" s="239" t="s">
        <v>7</v>
      </c>
      <c r="B48" s="56" t="s">
        <v>836</v>
      </c>
      <c r="C48" s="56" t="s">
        <v>929</v>
      </c>
      <c r="D48" s="51"/>
      <c r="E48" s="51" t="s">
        <v>307</v>
      </c>
      <c r="F48" s="51" t="s">
        <v>234</v>
      </c>
      <c r="G48" s="51" t="s">
        <v>838</v>
      </c>
      <c r="H48" s="302" t="s">
        <v>931</v>
      </c>
      <c r="I48" s="42">
        <v>83907899</v>
      </c>
      <c r="J48" s="4" t="s">
        <v>12</v>
      </c>
      <c r="K48" s="76">
        <v>0.5</v>
      </c>
      <c r="L48" s="91"/>
      <c r="M48" s="12">
        <f>560-301</f>
        <v>259</v>
      </c>
      <c r="N48" s="12">
        <f>2406-1279</f>
        <v>1127</v>
      </c>
      <c r="O48" s="12">
        <f t="shared" si="0"/>
        <v>1386</v>
      </c>
      <c r="P48" s="91"/>
      <c r="Q48" s="12">
        <f>560-301</f>
        <v>259</v>
      </c>
      <c r="R48" s="12">
        <f>2406-1279</f>
        <v>1127</v>
      </c>
      <c r="S48" s="12">
        <f t="shared" si="1"/>
        <v>1386</v>
      </c>
      <c r="T48" s="91"/>
      <c r="U48" s="12">
        <f t="shared" si="3"/>
        <v>518</v>
      </c>
      <c r="V48" s="12">
        <f t="shared" si="4"/>
        <v>2254</v>
      </c>
      <c r="W48" s="12">
        <f t="shared" si="2"/>
        <v>2772</v>
      </c>
    </row>
    <row r="49" spans="1:23" ht="29.25">
      <c r="A49" s="239" t="s">
        <v>7</v>
      </c>
      <c r="B49" s="56" t="s">
        <v>836</v>
      </c>
      <c r="C49" s="56" t="s">
        <v>932</v>
      </c>
      <c r="D49" s="51"/>
      <c r="E49" s="51"/>
      <c r="F49" s="51" t="s">
        <v>234</v>
      </c>
      <c r="G49" s="51" t="s">
        <v>838</v>
      </c>
      <c r="H49" s="302" t="s">
        <v>933</v>
      </c>
      <c r="I49" s="42">
        <v>127137</v>
      </c>
      <c r="J49" s="4" t="s">
        <v>12</v>
      </c>
      <c r="K49" s="76">
        <v>2.2</v>
      </c>
      <c r="L49" s="91"/>
      <c r="M49" s="12">
        <f>4794-4354</f>
        <v>440</v>
      </c>
      <c r="N49" s="12">
        <f>20386-18398</f>
        <v>1988</v>
      </c>
      <c r="O49" s="12">
        <f t="shared" si="0"/>
        <v>2428</v>
      </c>
      <c r="P49" s="91"/>
      <c r="Q49" s="12">
        <f>4794-4354</f>
        <v>440</v>
      </c>
      <c r="R49" s="12">
        <f>20386-18398</f>
        <v>1988</v>
      </c>
      <c r="S49" s="12">
        <f t="shared" si="1"/>
        <v>2428</v>
      </c>
      <c r="T49" s="91"/>
      <c r="U49" s="12">
        <f t="shared" si="3"/>
        <v>880</v>
      </c>
      <c r="V49" s="12">
        <f t="shared" si="4"/>
        <v>3976</v>
      </c>
      <c r="W49" s="12">
        <f t="shared" si="2"/>
        <v>4856</v>
      </c>
    </row>
    <row r="50" spans="1:23" ht="29.25">
      <c r="A50" s="239" t="s">
        <v>7</v>
      </c>
      <c r="B50" s="56" t="s">
        <v>836</v>
      </c>
      <c r="C50" s="56" t="s">
        <v>934</v>
      </c>
      <c r="D50" s="51"/>
      <c r="E50" s="51" t="s">
        <v>671</v>
      </c>
      <c r="F50" s="51" t="s">
        <v>234</v>
      </c>
      <c r="G50" s="51" t="s">
        <v>838</v>
      </c>
      <c r="H50" s="302" t="s">
        <v>935</v>
      </c>
      <c r="I50" s="42">
        <v>83903878</v>
      </c>
      <c r="J50" s="4" t="s">
        <v>12</v>
      </c>
      <c r="K50" s="76">
        <v>2.2</v>
      </c>
      <c r="L50" s="91"/>
      <c r="M50" s="12">
        <f>806-430</f>
        <v>376</v>
      </c>
      <c r="N50" s="12">
        <f>3504-1844</f>
        <v>1660</v>
      </c>
      <c r="O50" s="12">
        <f aca="true" t="shared" si="5" ref="O50:O81">M50+N50</f>
        <v>2036</v>
      </c>
      <c r="P50" s="91"/>
      <c r="Q50" s="12">
        <f>806-430</f>
        <v>376</v>
      </c>
      <c r="R50" s="12">
        <f>3504-1844</f>
        <v>1660</v>
      </c>
      <c r="S50" s="12">
        <f t="shared" si="1"/>
        <v>2036</v>
      </c>
      <c r="T50" s="91"/>
      <c r="U50" s="12">
        <f t="shared" si="3"/>
        <v>752</v>
      </c>
      <c r="V50" s="12">
        <f t="shared" si="4"/>
        <v>3320</v>
      </c>
      <c r="W50" s="12">
        <f t="shared" si="2"/>
        <v>4072</v>
      </c>
    </row>
    <row r="51" spans="1:23" ht="29.25">
      <c r="A51" s="239" t="s">
        <v>7</v>
      </c>
      <c r="B51" s="56" t="s">
        <v>836</v>
      </c>
      <c r="C51" s="56" t="s">
        <v>934</v>
      </c>
      <c r="D51" s="51"/>
      <c r="E51" s="51" t="s">
        <v>307</v>
      </c>
      <c r="F51" s="51" t="s">
        <v>234</v>
      </c>
      <c r="G51" s="51" t="s">
        <v>838</v>
      </c>
      <c r="H51" s="302" t="s">
        <v>936</v>
      </c>
      <c r="I51" s="42">
        <v>110529</v>
      </c>
      <c r="J51" s="4" t="s">
        <v>12</v>
      </c>
      <c r="K51" s="76">
        <v>2.2</v>
      </c>
      <c r="L51" s="91"/>
      <c r="M51" s="12">
        <f>3858-3600</f>
        <v>258</v>
      </c>
      <c r="N51" s="12">
        <f>16831-15583</f>
        <v>1248</v>
      </c>
      <c r="O51" s="12">
        <f t="shared" si="5"/>
        <v>1506</v>
      </c>
      <c r="P51" s="91"/>
      <c r="Q51" s="12">
        <f>3858-3600</f>
        <v>258</v>
      </c>
      <c r="R51" s="12">
        <f>16831-15583</f>
        <v>1248</v>
      </c>
      <c r="S51" s="12">
        <f t="shared" si="1"/>
        <v>1506</v>
      </c>
      <c r="T51" s="91"/>
      <c r="U51" s="12">
        <f t="shared" si="3"/>
        <v>516</v>
      </c>
      <c r="V51" s="12">
        <f t="shared" si="4"/>
        <v>2496</v>
      </c>
      <c r="W51" s="12">
        <f t="shared" si="2"/>
        <v>3012</v>
      </c>
    </row>
    <row r="52" spans="1:23" ht="29.25">
      <c r="A52" s="239" t="s">
        <v>7</v>
      </c>
      <c r="B52" s="56" t="s">
        <v>836</v>
      </c>
      <c r="C52" s="56" t="s">
        <v>937</v>
      </c>
      <c r="D52" s="51"/>
      <c r="E52" s="51">
        <v>3</v>
      </c>
      <c r="F52" s="51" t="s">
        <v>234</v>
      </c>
      <c r="G52" s="51" t="s">
        <v>838</v>
      </c>
      <c r="H52" s="302" t="s">
        <v>938</v>
      </c>
      <c r="I52" s="42">
        <v>94807119</v>
      </c>
      <c r="J52" s="4" t="s">
        <v>12</v>
      </c>
      <c r="K52" s="76">
        <v>3.2</v>
      </c>
      <c r="L52" s="91"/>
      <c r="M52" s="12">
        <f>927-151</f>
        <v>776</v>
      </c>
      <c r="N52" s="12">
        <f>3906-571</f>
        <v>3335</v>
      </c>
      <c r="O52" s="12">
        <f t="shared" si="5"/>
        <v>4111</v>
      </c>
      <c r="P52" s="91"/>
      <c r="Q52" s="12">
        <f>927-151</f>
        <v>776</v>
      </c>
      <c r="R52" s="12">
        <f>3906-571</f>
        <v>3335</v>
      </c>
      <c r="S52" s="12">
        <f t="shared" si="1"/>
        <v>4111</v>
      </c>
      <c r="T52" s="91"/>
      <c r="U52" s="12">
        <f t="shared" si="3"/>
        <v>1552</v>
      </c>
      <c r="V52" s="12">
        <f t="shared" si="4"/>
        <v>6670</v>
      </c>
      <c r="W52" s="12">
        <f t="shared" si="2"/>
        <v>8222</v>
      </c>
    </row>
    <row r="53" spans="1:23" ht="29.25">
      <c r="A53" s="239" t="s">
        <v>7</v>
      </c>
      <c r="B53" s="56" t="s">
        <v>836</v>
      </c>
      <c r="C53" s="56" t="s">
        <v>937</v>
      </c>
      <c r="D53" s="51"/>
      <c r="E53" s="51"/>
      <c r="F53" s="51" t="s">
        <v>234</v>
      </c>
      <c r="G53" s="51" t="s">
        <v>838</v>
      </c>
      <c r="H53" s="302" t="s">
        <v>939</v>
      </c>
      <c r="I53" s="42">
        <v>94313581</v>
      </c>
      <c r="J53" s="4" t="s">
        <v>12</v>
      </c>
      <c r="K53" s="76">
        <v>6.6</v>
      </c>
      <c r="L53" s="91"/>
      <c r="M53" s="12">
        <f>1229-590</f>
        <v>639</v>
      </c>
      <c r="N53" s="12">
        <f>4731-2194</f>
        <v>2537</v>
      </c>
      <c r="O53" s="12">
        <f t="shared" si="5"/>
        <v>3176</v>
      </c>
      <c r="P53" s="91"/>
      <c r="Q53" s="12">
        <f>1229-590</f>
        <v>639</v>
      </c>
      <c r="R53" s="12">
        <f>4731-2194</f>
        <v>2537</v>
      </c>
      <c r="S53" s="12">
        <f t="shared" si="1"/>
        <v>3176</v>
      </c>
      <c r="T53" s="91"/>
      <c r="U53" s="12">
        <f t="shared" si="3"/>
        <v>1278</v>
      </c>
      <c r="V53" s="12">
        <f t="shared" si="4"/>
        <v>5074</v>
      </c>
      <c r="W53" s="12">
        <f t="shared" si="2"/>
        <v>6352</v>
      </c>
    </row>
    <row r="54" spans="1:23" ht="29.25">
      <c r="A54" s="239" t="s">
        <v>7</v>
      </c>
      <c r="B54" s="56" t="s">
        <v>836</v>
      </c>
      <c r="C54" s="56" t="s">
        <v>940</v>
      </c>
      <c r="D54" s="51"/>
      <c r="E54" s="51"/>
      <c r="F54" s="51" t="s">
        <v>234</v>
      </c>
      <c r="G54" s="51" t="s">
        <v>838</v>
      </c>
      <c r="H54" s="302" t="s">
        <v>941</v>
      </c>
      <c r="I54" s="42">
        <v>109316</v>
      </c>
      <c r="J54" s="4" t="s">
        <v>12</v>
      </c>
      <c r="K54" s="76">
        <v>2.2</v>
      </c>
      <c r="L54" s="91"/>
      <c r="M54" s="12">
        <f>5017-4335</f>
        <v>682</v>
      </c>
      <c r="N54" s="12">
        <f>17977-15758</f>
        <v>2219</v>
      </c>
      <c r="O54" s="12">
        <f t="shared" si="5"/>
        <v>2901</v>
      </c>
      <c r="P54" s="91"/>
      <c r="Q54" s="12">
        <f>5017-4335</f>
        <v>682</v>
      </c>
      <c r="R54" s="12">
        <f>17977-15758</f>
        <v>2219</v>
      </c>
      <c r="S54" s="12">
        <f t="shared" si="1"/>
        <v>2901</v>
      </c>
      <c r="T54" s="91"/>
      <c r="U54" s="12">
        <f t="shared" si="3"/>
        <v>1364</v>
      </c>
      <c r="V54" s="12">
        <f t="shared" si="4"/>
        <v>4438</v>
      </c>
      <c r="W54" s="12">
        <f t="shared" si="2"/>
        <v>5802</v>
      </c>
    </row>
    <row r="55" spans="1:23" ht="29.25">
      <c r="A55" s="239" t="s">
        <v>7</v>
      </c>
      <c r="B55" s="56" t="s">
        <v>836</v>
      </c>
      <c r="C55" s="56" t="s">
        <v>942</v>
      </c>
      <c r="D55" s="51"/>
      <c r="E55" s="51"/>
      <c r="F55" s="51" t="s">
        <v>234</v>
      </c>
      <c r="G55" s="51" t="s">
        <v>838</v>
      </c>
      <c r="H55" s="302" t="s">
        <v>943</v>
      </c>
      <c r="I55" s="42">
        <v>83903903</v>
      </c>
      <c r="J55" s="4" t="s">
        <v>12</v>
      </c>
      <c r="K55" s="76">
        <v>2.2</v>
      </c>
      <c r="L55" s="91"/>
      <c r="M55" s="12">
        <f>671-279</f>
        <v>392</v>
      </c>
      <c r="N55" s="12">
        <f>2516-1118</f>
        <v>1398</v>
      </c>
      <c r="O55" s="12">
        <f t="shared" si="5"/>
        <v>1790</v>
      </c>
      <c r="P55" s="91"/>
      <c r="Q55" s="12">
        <f>671-279</f>
        <v>392</v>
      </c>
      <c r="R55" s="12">
        <f>2516-1118</f>
        <v>1398</v>
      </c>
      <c r="S55" s="12">
        <f t="shared" si="1"/>
        <v>1790</v>
      </c>
      <c r="T55" s="91"/>
      <c r="U55" s="12">
        <f t="shared" si="3"/>
        <v>784</v>
      </c>
      <c r="V55" s="12">
        <f t="shared" si="4"/>
        <v>2796</v>
      </c>
      <c r="W55" s="12">
        <f t="shared" si="2"/>
        <v>3580</v>
      </c>
    </row>
    <row r="56" spans="1:23" ht="29.25">
      <c r="A56" s="239" t="s">
        <v>7</v>
      </c>
      <c r="B56" s="56" t="s">
        <v>836</v>
      </c>
      <c r="C56" s="56" t="s">
        <v>847</v>
      </c>
      <c r="D56" s="51"/>
      <c r="E56" s="51">
        <v>1</v>
      </c>
      <c r="F56" s="51" t="s">
        <v>234</v>
      </c>
      <c r="G56" s="51" t="s">
        <v>838</v>
      </c>
      <c r="H56" s="302" t="s">
        <v>848</v>
      </c>
      <c r="I56" s="42">
        <v>93139941</v>
      </c>
      <c r="J56" s="4" t="s">
        <v>12</v>
      </c>
      <c r="K56" s="76">
        <v>0.7</v>
      </c>
      <c r="L56" s="91"/>
      <c r="M56" s="12">
        <f>4201-3740</f>
        <v>461</v>
      </c>
      <c r="N56" s="12">
        <f>5005-3026</f>
        <v>1979</v>
      </c>
      <c r="O56" s="12">
        <f t="shared" si="5"/>
        <v>2440</v>
      </c>
      <c r="P56" s="91"/>
      <c r="Q56" s="12">
        <f>4201-3740</f>
        <v>461</v>
      </c>
      <c r="R56" s="12">
        <f>5005-3026</f>
        <v>1979</v>
      </c>
      <c r="S56" s="12">
        <f t="shared" si="1"/>
        <v>2440</v>
      </c>
      <c r="T56" s="91"/>
      <c r="U56" s="12">
        <f t="shared" si="3"/>
        <v>922</v>
      </c>
      <c r="V56" s="12">
        <f t="shared" si="4"/>
        <v>3958</v>
      </c>
      <c r="W56" s="12">
        <f t="shared" si="2"/>
        <v>4880</v>
      </c>
    </row>
    <row r="57" spans="1:23" ht="29.25">
      <c r="A57" s="239" t="s">
        <v>7</v>
      </c>
      <c r="B57" s="56" t="s">
        <v>836</v>
      </c>
      <c r="C57" s="56" t="s">
        <v>1687</v>
      </c>
      <c r="D57" s="51"/>
      <c r="E57" s="51"/>
      <c r="F57" s="51" t="s">
        <v>234</v>
      </c>
      <c r="G57" s="51" t="s">
        <v>838</v>
      </c>
      <c r="H57" s="302" t="s">
        <v>849</v>
      </c>
      <c r="I57" s="42">
        <v>92952670</v>
      </c>
      <c r="J57" s="4" t="s">
        <v>12</v>
      </c>
      <c r="K57" s="76">
        <v>2.2</v>
      </c>
      <c r="L57" s="91"/>
      <c r="M57" s="12">
        <f>477-170</f>
        <v>307</v>
      </c>
      <c r="N57" s="12">
        <f>2011-466</f>
        <v>1545</v>
      </c>
      <c r="O57" s="12">
        <f t="shared" si="5"/>
        <v>1852</v>
      </c>
      <c r="P57" s="91"/>
      <c r="Q57" s="12">
        <f>477-170</f>
        <v>307</v>
      </c>
      <c r="R57" s="12">
        <f>2011-466</f>
        <v>1545</v>
      </c>
      <c r="S57" s="12">
        <f t="shared" si="1"/>
        <v>1852</v>
      </c>
      <c r="T57" s="91"/>
      <c r="U57" s="12">
        <f t="shared" si="3"/>
        <v>614</v>
      </c>
      <c r="V57" s="12">
        <f t="shared" si="4"/>
        <v>3090</v>
      </c>
      <c r="W57" s="12">
        <f t="shared" si="2"/>
        <v>3704</v>
      </c>
    </row>
    <row r="58" spans="1:23" ht="29.25">
      <c r="A58" s="239" t="s">
        <v>7</v>
      </c>
      <c r="B58" s="56" t="s">
        <v>836</v>
      </c>
      <c r="C58" s="56" t="s">
        <v>850</v>
      </c>
      <c r="D58" s="51"/>
      <c r="E58" s="51" t="s">
        <v>141</v>
      </c>
      <c r="F58" s="51" t="s">
        <v>234</v>
      </c>
      <c r="G58" s="51" t="s">
        <v>838</v>
      </c>
      <c r="H58" s="302" t="s">
        <v>851</v>
      </c>
      <c r="I58" s="42">
        <v>83904303</v>
      </c>
      <c r="J58" s="4" t="s">
        <v>12</v>
      </c>
      <c r="K58" s="76">
        <v>2.2</v>
      </c>
      <c r="L58" s="91"/>
      <c r="M58" s="12">
        <f>430-226</f>
        <v>204</v>
      </c>
      <c r="N58" s="12">
        <f>1979-1080</f>
        <v>899</v>
      </c>
      <c r="O58" s="12">
        <f t="shared" si="5"/>
        <v>1103</v>
      </c>
      <c r="P58" s="91"/>
      <c r="Q58" s="12">
        <f>430-226</f>
        <v>204</v>
      </c>
      <c r="R58" s="12">
        <f>1979-1080</f>
        <v>899</v>
      </c>
      <c r="S58" s="12">
        <f t="shared" si="1"/>
        <v>1103</v>
      </c>
      <c r="T58" s="91"/>
      <c r="U58" s="12">
        <f t="shared" si="3"/>
        <v>408</v>
      </c>
      <c r="V58" s="12">
        <f t="shared" si="4"/>
        <v>1798</v>
      </c>
      <c r="W58" s="12">
        <f t="shared" si="2"/>
        <v>2206</v>
      </c>
    </row>
    <row r="59" spans="1:23" ht="29.25">
      <c r="A59" s="239" t="s">
        <v>7</v>
      </c>
      <c r="B59" s="56" t="s">
        <v>836</v>
      </c>
      <c r="C59" s="56" t="s">
        <v>852</v>
      </c>
      <c r="D59" s="51"/>
      <c r="E59" s="51"/>
      <c r="F59" s="51" t="s">
        <v>234</v>
      </c>
      <c r="G59" s="51" t="s">
        <v>838</v>
      </c>
      <c r="H59" s="302" t="s">
        <v>853</v>
      </c>
      <c r="I59" s="42">
        <v>83903802</v>
      </c>
      <c r="J59" s="4" t="s">
        <v>12</v>
      </c>
      <c r="K59" s="76">
        <v>2.2</v>
      </c>
      <c r="L59" s="91"/>
      <c r="M59" s="12">
        <f>418-222</f>
        <v>196</v>
      </c>
      <c r="N59" s="12">
        <f>1768-944</f>
        <v>824</v>
      </c>
      <c r="O59" s="12">
        <f t="shared" si="5"/>
        <v>1020</v>
      </c>
      <c r="P59" s="91"/>
      <c r="Q59" s="12">
        <f>418-222</f>
        <v>196</v>
      </c>
      <c r="R59" s="12">
        <f>1768-944</f>
        <v>824</v>
      </c>
      <c r="S59" s="12">
        <f t="shared" si="1"/>
        <v>1020</v>
      </c>
      <c r="T59" s="91"/>
      <c r="U59" s="12">
        <f t="shared" si="3"/>
        <v>392</v>
      </c>
      <c r="V59" s="12">
        <f t="shared" si="4"/>
        <v>1648</v>
      </c>
      <c r="W59" s="12">
        <f t="shared" si="2"/>
        <v>2040</v>
      </c>
    </row>
    <row r="60" spans="1:23" ht="29.25">
      <c r="A60" s="239" t="s">
        <v>7</v>
      </c>
      <c r="B60" s="56" t="s">
        <v>836</v>
      </c>
      <c r="C60" s="56" t="s">
        <v>854</v>
      </c>
      <c r="D60" s="51"/>
      <c r="E60" s="51"/>
      <c r="F60" s="51" t="s">
        <v>234</v>
      </c>
      <c r="G60" s="51" t="s">
        <v>838</v>
      </c>
      <c r="H60" s="302" t="s">
        <v>855</v>
      </c>
      <c r="I60" s="42">
        <v>94313221</v>
      </c>
      <c r="J60" s="4" t="s">
        <v>12</v>
      </c>
      <c r="K60" s="76">
        <v>1</v>
      </c>
      <c r="L60" s="91"/>
      <c r="M60" s="12">
        <v>418.44000000000005</v>
      </c>
      <c r="N60" s="12">
        <v>1919.28</v>
      </c>
      <c r="O60" s="12">
        <f t="shared" si="5"/>
        <v>2337.7200000000003</v>
      </c>
      <c r="P60" s="91"/>
      <c r="Q60" s="12">
        <v>418.44000000000005</v>
      </c>
      <c r="R60" s="12">
        <v>1919.28</v>
      </c>
      <c r="S60" s="12">
        <f t="shared" si="1"/>
        <v>2337.7200000000003</v>
      </c>
      <c r="T60" s="91"/>
      <c r="U60" s="12">
        <f t="shared" si="3"/>
        <v>836.8800000000001</v>
      </c>
      <c r="V60" s="12">
        <f t="shared" si="4"/>
        <v>3838.56</v>
      </c>
      <c r="W60" s="12">
        <f t="shared" si="2"/>
        <v>4675.4400000000005</v>
      </c>
    </row>
    <row r="61" spans="1:23" ht="29.25">
      <c r="A61" s="239" t="s">
        <v>7</v>
      </c>
      <c r="B61" s="56" t="s">
        <v>836</v>
      </c>
      <c r="C61" s="56" t="s">
        <v>1688</v>
      </c>
      <c r="D61" s="51"/>
      <c r="E61" s="51" t="s">
        <v>141</v>
      </c>
      <c r="F61" s="51" t="s">
        <v>234</v>
      </c>
      <c r="G61" s="51" t="s">
        <v>838</v>
      </c>
      <c r="H61" s="302" t="s">
        <v>856</v>
      </c>
      <c r="I61" s="42">
        <v>83904313</v>
      </c>
      <c r="J61" s="4" t="s">
        <v>12</v>
      </c>
      <c r="K61" s="76">
        <v>2.2</v>
      </c>
      <c r="L61" s="91"/>
      <c r="M61" s="12">
        <f>1199-666</f>
        <v>533</v>
      </c>
      <c r="N61" s="12">
        <f>4794-2466</f>
        <v>2328</v>
      </c>
      <c r="O61" s="12">
        <f t="shared" si="5"/>
        <v>2861</v>
      </c>
      <c r="P61" s="91"/>
      <c r="Q61" s="12">
        <f>1199-666</f>
        <v>533</v>
      </c>
      <c r="R61" s="12">
        <f>4794-2466</f>
        <v>2328</v>
      </c>
      <c r="S61" s="12">
        <f t="shared" si="1"/>
        <v>2861</v>
      </c>
      <c r="T61" s="91"/>
      <c r="U61" s="12">
        <f t="shared" si="3"/>
        <v>1066</v>
      </c>
      <c r="V61" s="12">
        <f t="shared" si="4"/>
        <v>4656</v>
      </c>
      <c r="W61" s="12">
        <f t="shared" si="2"/>
        <v>5722</v>
      </c>
    </row>
    <row r="62" spans="1:23" ht="29.25">
      <c r="A62" s="239" t="s">
        <v>7</v>
      </c>
      <c r="B62" s="56" t="s">
        <v>836</v>
      </c>
      <c r="C62" s="56" t="s">
        <v>1688</v>
      </c>
      <c r="D62" s="51"/>
      <c r="E62" s="51" t="s">
        <v>671</v>
      </c>
      <c r="F62" s="51" t="s">
        <v>234</v>
      </c>
      <c r="G62" s="51" t="s">
        <v>838</v>
      </c>
      <c r="H62" s="302" t="s">
        <v>857</v>
      </c>
      <c r="I62" s="42">
        <v>83904321</v>
      </c>
      <c r="J62" s="4" t="s">
        <v>12</v>
      </c>
      <c r="K62" s="76">
        <v>3</v>
      </c>
      <c r="L62" s="91"/>
      <c r="M62" s="12">
        <f>407-215</f>
        <v>192</v>
      </c>
      <c r="N62" s="12">
        <f>1770-922</f>
        <v>848</v>
      </c>
      <c r="O62" s="12">
        <f t="shared" si="5"/>
        <v>1040</v>
      </c>
      <c r="P62" s="91"/>
      <c r="Q62" s="12">
        <f>407-215</f>
        <v>192</v>
      </c>
      <c r="R62" s="12">
        <f>1770-922</f>
        <v>848</v>
      </c>
      <c r="S62" s="12">
        <f t="shared" si="1"/>
        <v>1040</v>
      </c>
      <c r="T62" s="91"/>
      <c r="U62" s="12">
        <f t="shared" si="3"/>
        <v>384</v>
      </c>
      <c r="V62" s="12">
        <f t="shared" si="4"/>
        <v>1696</v>
      </c>
      <c r="W62" s="12">
        <f t="shared" si="2"/>
        <v>2080</v>
      </c>
    </row>
    <row r="63" spans="1:23" ht="29.25">
      <c r="A63" s="239" t="s">
        <v>7</v>
      </c>
      <c r="B63" s="56" t="s">
        <v>836</v>
      </c>
      <c r="C63" s="56" t="s">
        <v>858</v>
      </c>
      <c r="D63" s="51"/>
      <c r="E63" s="51" t="s">
        <v>671</v>
      </c>
      <c r="F63" s="51" t="s">
        <v>234</v>
      </c>
      <c r="G63" s="51" t="s">
        <v>838</v>
      </c>
      <c r="H63" s="302" t="s">
        <v>859</v>
      </c>
      <c r="I63" s="42">
        <v>83903916</v>
      </c>
      <c r="J63" s="4" t="s">
        <v>12</v>
      </c>
      <c r="K63" s="76">
        <v>0.6</v>
      </c>
      <c r="L63" s="91"/>
      <c r="M63" s="12">
        <f>1020-537</f>
        <v>483</v>
      </c>
      <c r="N63" s="12">
        <f>4463-2334</f>
        <v>2129</v>
      </c>
      <c r="O63" s="12">
        <f t="shared" si="5"/>
        <v>2612</v>
      </c>
      <c r="P63" s="91"/>
      <c r="Q63" s="12">
        <f>1020-537</f>
        <v>483</v>
      </c>
      <c r="R63" s="12">
        <f>4463-2334</f>
        <v>2129</v>
      </c>
      <c r="S63" s="12">
        <f t="shared" si="1"/>
        <v>2612</v>
      </c>
      <c r="T63" s="91"/>
      <c r="U63" s="12">
        <f t="shared" si="3"/>
        <v>966</v>
      </c>
      <c r="V63" s="12">
        <f t="shared" si="4"/>
        <v>4258</v>
      </c>
      <c r="W63" s="12">
        <f t="shared" si="2"/>
        <v>5224</v>
      </c>
    </row>
    <row r="64" spans="1:23" ht="29.25">
      <c r="A64" s="239" t="s">
        <v>7</v>
      </c>
      <c r="B64" s="56" t="s">
        <v>836</v>
      </c>
      <c r="C64" s="56" t="s">
        <v>860</v>
      </c>
      <c r="D64" s="51"/>
      <c r="E64" s="51" t="s">
        <v>141</v>
      </c>
      <c r="F64" s="51" t="s">
        <v>234</v>
      </c>
      <c r="G64" s="51" t="s">
        <v>838</v>
      </c>
      <c r="H64" s="302" t="s">
        <v>861</v>
      </c>
      <c r="I64" s="42">
        <v>83905047</v>
      </c>
      <c r="J64" s="4" t="s">
        <v>12</v>
      </c>
      <c r="K64" s="76">
        <v>1.2</v>
      </c>
      <c r="L64" s="91"/>
      <c r="M64" s="12">
        <f>523-295</f>
        <v>228</v>
      </c>
      <c r="N64" s="12">
        <f>2324-1280</f>
        <v>1044</v>
      </c>
      <c r="O64" s="12">
        <f t="shared" si="5"/>
        <v>1272</v>
      </c>
      <c r="P64" s="91"/>
      <c r="Q64" s="12">
        <f>523-295</f>
        <v>228</v>
      </c>
      <c r="R64" s="12">
        <f>2324-1280</f>
        <v>1044</v>
      </c>
      <c r="S64" s="12">
        <f t="shared" si="1"/>
        <v>1272</v>
      </c>
      <c r="T64" s="91"/>
      <c r="U64" s="12">
        <f t="shared" si="3"/>
        <v>456</v>
      </c>
      <c r="V64" s="12">
        <f t="shared" si="4"/>
        <v>2088</v>
      </c>
      <c r="W64" s="12">
        <f t="shared" si="2"/>
        <v>2544</v>
      </c>
    </row>
    <row r="65" spans="1:23" ht="29.25">
      <c r="A65" s="239" t="s">
        <v>7</v>
      </c>
      <c r="B65" s="56" t="s">
        <v>836</v>
      </c>
      <c r="C65" s="56" t="s">
        <v>860</v>
      </c>
      <c r="D65" s="51"/>
      <c r="E65" s="51" t="s">
        <v>671</v>
      </c>
      <c r="F65" s="51" t="s">
        <v>234</v>
      </c>
      <c r="G65" s="51" t="s">
        <v>838</v>
      </c>
      <c r="H65" s="302" t="s">
        <v>862</v>
      </c>
      <c r="I65" s="42">
        <v>83905015</v>
      </c>
      <c r="J65" s="4" t="s">
        <v>12</v>
      </c>
      <c r="K65" s="76">
        <v>2.2</v>
      </c>
      <c r="L65" s="91"/>
      <c r="M65" s="12">
        <f>682-369</f>
        <v>313</v>
      </c>
      <c r="N65" s="12">
        <f>2959-1589</f>
        <v>1370</v>
      </c>
      <c r="O65" s="12">
        <f t="shared" si="5"/>
        <v>1683</v>
      </c>
      <c r="P65" s="91"/>
      <c r="Q65" s="12">
        <f>682-369</f>
        <v>313</v>
      </c>
      <c r="R65" s="12">
        <f>2959-1589</f>
        <v>1370</v>
      </c>
      <c r="S65" s="12">
        <f t="shared" si="1"/>
        <v>1683</v>
      </c>
      <c r="T65" s="91"/>
      <c r="U65" s="12">
        <f t="shared" si="3"/>
        <v>626</v>
      </c>
      <c r="V65" s="12">
        <f t="shared" si="4"/>
        <v>2740</v>
      </c>
      <c r="W65" s="12">
        <f t="shared" si="2"/>
        <v>3366</v>
      </c>
    </row>
    <row r="66" spans="1:23" ht="29.25">
      <c r="A66" s="239" t="s">
        <v>7</v>
      </c>
      <c r="B66" s="56" t="s">
        <v>836</v>
      </c>
      <c r="C66" s="56" t="s">
        <v>860</v>
      </c>
      <c r="D66" s="51"/>
      <c r="E66" s="51" t="s">
        <v>863</v>
      </c>
      <c r="F66" s="51" t="s">
        <v>234</v>
      </c>
      <c r="G66" s="51" t="s">
        <v>838</v>
      </c>
      <c r="H66" s="302" t="s">
        <v>864</v>
      </c>
      <c r="I66" s="42">
        <v>83907945</v>
      </c>
      <c r="J66" s="4" t="s">
        <v>12</v>
      </c>
      <c r="K66" s="76">
        <v>2.2</v>
      </c>
      <c r="L66" s="91"/>
      <c r="M66" s="12">
        <f>538-293</f>
        <v>245</v>
      </c>
      <c r="N66" s="12">
        <f>2318-1244</f>
        <v>1074</v>
      </c>
      <c r="O66" s="12">
        <f t="shared" si="5"/>
        <v>1319</v>
      </c>
      <c r="P66" s="91"/>
      <c r="Q66" s="12">
        <f>538-293</f>
        <v>245</v>
      </c>
      <c r="R66" s="12">
        <f>2318-1244</f>
        <v>1074</v>
      </c>
      <c r="S66" s="12">
        <f t="shared" si="1"/>
        <v>1319</v>
      </c>
      <c r="T66" s="91"/>
      <c r="U66" s="12">
        <f t="shared" si="3"/>
        <v>490</v>
      </c>
      <c r="V66" s="12">
        <f t="shared" si="4"/>
        <v>2148</v>
      </c>
      <c r="W66" s="12">
        <f t="shared" si="2"/>
        <v>2638</v>
      </c>
    </row>
    <row r="67" spans="1:23" ht="29.25">
      <c r="A67" s="239" t="s">
        <v>7</v>
      </c>
      <c r="B67" s="56" t="s">
        <v>836</v>
      </c>
      <c r="C67" s="56" t="s">
        <v>860</v>
      </c>
      <c r="D67" s="51"/>
      <c r="E67" s="51"/>
      <c r="F67" s="51" t="s">
        <v>234</v>
      </c>
      <c r="G67" s="51" t="s">
        <v>838</v>
      </c>
      <c r="H67" s="302" t="s">
        <v>865</v>
      </c>
      <c r="I67" s="42">
        <v>83907868</v>
      </c>
      <c r="J67" s="4" t="s">
        <v>12</v>
      </c>
      <c r="K67" s="76">
        <v>0.8</v>
      </c>
      <c r="L67" s="91"/>
      <c r="M67" s="12">
        <f>485-264</f>
        <v>221</v>
      </c>
      <c r="N67" s="12">
        <f>2055-1099</f>
        <v>956</v>
      </c>
      <c r="O67" s="12">
        <f t="shared" si="5"/>
        <v>1177</v>
      </c>
      <c r="P67" s="91"/>
      <c r="Q67" s="12">
        <f>485-264</f>
        <v>221</v>
      </c>
      <c r="R67" s="12">
        <f>2055-1099</f>
        <v>956</v>
      </c>
      <c r="S67" s="12">
        <f t="shared" si="1"/>
        <v>1177</v>
      </c>
      <c r="T67" s="91"/>
      <c r="U67" s="12">
        <f t="shared" si="3"/>
        <v>442</v>
      </c>
      <c r="V67" s="12">
        <f t="shared" si="4"/>
        <v>1912</v>
      </c>
      <c r="W67" s="12">
        <f t="shared" si="2"/>
        <v>2354</v>
      </c>
    </row>
    <row r="68" spans="1:23" ht="29.25">
      <c r="A68" s="239" t="s">
        <v>7</v>
      </c>
      <c r="B68" s="56" t="s">
        <v>836</v>
      </c>
      <c r="C68" s="56" t="s">
        <v>866</v>
      </c>
      <c r="D68" s="51"/>
      <c r="E68" s="51" t="s">
        <v>141</v>
      </c>
      <c r="F68" s="51" t="s">
        <v>234</v>
      </c>
      <c r="G68" s="51" t="s">
        <v>838</v>
      </c>
      <c r="H68" s="302" t="s">
        <v>867</v>
      </c>
      <c r="I68" s="42">
        <v>83902850</v>
      </c>
      <c r="J68" s="4" t="s">
        <v>12</v>
      </c>
      <c r="K68" s="76">
        <v>2.2</v>
      </c>
      <c r="L68" s="91"/>
      <c r="M68" s="12">
        <f>517-269</f>
        <v>248</v>
      </c>
      <c r="N68" s="12">
        <f>2295-1214</f>
        <v>1081</v>
      </c>
      <c r="O68" s="12">
        <f t="shared" si="5"/>
        <v>1329</v>
      </c>
      <c r="P68" s="91"/>
      <c r="Q68" s="12">
        <f>517-269</f>
        <v>248</v>
      </c>
      <c r="R68" s="12">
        <f>2295-1214</f>
        <v>1081</v>
      </c>
      <c r="S68" s="12">
        <f t="shared" si="1"/>
        <v>1329</v>
      </c>
      <c r="T68" s="91"/>
      <c r="U68" s="12">
        <f t="shared" si="3"/>
        <v>496</v>
      </c>
      <c r="V68" s="12">
        <f t="shared" si="4"/>
        <v>2162</v>
      </c>
      <c r="W68" s="12">
        <f t="shared" si="2"/>
        <v>2658</v>
      </c>
    </row>
    <row r="69" spans="1:23" ht="29.25">
      <c r="A69" s="239" t="s">
        <v>7</v>
      </c>
      <c r="B69" s="56" t="s">
        <v>836</v>
      </c>
      <c r="C69" s="56" t="s">
        <v>868</v>
      </c>
      <c r="D69" s="51"/>
      <c r="E69" s="51"/>
      <c r="F69" s="51" t="s">
        <v>234</v>
      </c>
      <c r="G69" s="51" t="s">
        <v>838</v>
      </c>
      <c r="H69" s="302" t="s">
        <v>869</v>
      </c>
      <c r="I69" s="42">
        <v>83995696</v>
      </c>
      <c r="J69" s="4" t="s">
        <v>12</v>
      </c>
      <c r="K69" s="76">
        <v>2.6</v>
      </c>
      <c r="L69" s="91"/>
      <c r="M69" s="12">
        <f>2066-1456</f>
        <v>610</v>
      </c>
      <c r="N69" s="12">
        <f>8508-6122</f>
        <v>2386</v>
      </c>
      <c r="O69" s="12">
        <f t="shared" si="5"/>
        <v>2996</v>
      </c>
      <c r="P69" s="91"/>
      <c r="Q69" s="12">
        <f>2066-1456</f>
        <v>610</v>
      </c>
      <c r="R69" s="12">
        <f>8508-6122</f>
        <v>2386</v>
      </c>
      <c r="S69" s="12">
        <f t="shared" si="1"/>
        <v>2996</v>
      </c>
      <c r="T69" s="91"/>
      <c r="U69" s="12">
        <f t="shared" si="3"/>
        <v>1220</v>
      </c>
      <c r="V69" s="12">
        <f t="shared" si="4"/>
        <v>4772</v>
      </c>
      <c r="W69" s="12">
        <f t="shared" si="2"/>
        <v>5992</v>
      </c>
    </row>
    <row r="70" spans="1:23" ht="29.25">
      <c r="A70" s="239" t="s">
        <v>7</v>
      </c>
      <c r="B70" s="56" t="s">
        <v>836</v>
      </c>
      <c r="C70" s="56" t="s">
        <v>870</v>
      </c>
      <c r="D70" s="51"/>
      <c r="E70" s="51" t="s">
        <v>671</v>
      </c>
      <c r="F70" s="51" t="s">
        <v>234</v>
      </c>
      <c r="G70" s="51" t="s">
        <v>838</v>
      </c>
      <c r="H70" s="302" t="s">
        <v>871</v>
      </c>
      <c r="I70" s="42">
        <v>83905037</v>
      </c>
      <c r="J70" s="4" t="s">
        <v>12</v>
      </c>
      <c r="K70" s="76">
        <v>0.5</v>
      </c>
      <c r="L70" s="91"/>
      <c r="M70" s="12">
        <f>382-198</f>
        <v>184</v>
      </c>
      <c r="N70" s="12">
        <f>1716-914</f>
        <v>802</v>
      </c>
      <c r="O70" s="12">
        <f t="shared" si="5"/>
        <v>986</v>
      </c>
      <c r="P70" s="91"/>
      <c r="Q70" s="12">
        <f>382-198</f>
        <v>184</v>
      </c>
      <c r="R70" s="12">
        <f>1716-914</f>
        <v>802</v>
      </c>
      <c r="S70" s="12">
        <f t="shared" si="1"/>
        <v>986</v>
      </c>
      <c r="T70" s="91"/>
      <c r="U70" s="12">
        <f t="shared" si="3"/>
        <v>368</v>
      </c>
      <c r="V70" s="12">
        <f t="shared" si="4"/>
        <v>1604</v>
      </c>
      <c r="W70" s="12">
        <f t="shared" si="2"/>
        <v>1972</v>
      </c>
    </row>
    <row r="71" spans="1:23" ht="29.25">
      <c r="A71" s="239" t="s">
        <v>7</v>
      </c>
      <c r="B71" s="56" t="s">
        <v>836</v>
      </c>
      <c r="C71" s="56" t="s">
        <v>870</v>
      </c>
      <c r="D71" s="51"/>
      <c r="E71" s="51" t="s">
        <v>307</v>
      </c>
      <c r="F71" s="51" t="s">
        <v>234</v>
      </c>
      <c r="G71" s="51" t="s">
        <v>838</v>
      </c>
      <c r="H71" s="302" t="s">
        <v>874</v>
      </c>
      <c r="I71" s="42">
        <v>83905043</v>
      </c>
      <c r="J71" s="4" t="s">
        <v>12</v>
      </c>
      <c r="K71" s="76">
        <v>1.7</v>
      </c>
      <c r="L71" s="91"/>
      <c r="M71" s="12">
        <f>646-352</f>
        <v>294</v>
      </c>
      <c r="N71" s="12">
        <f>3002-1623</f>
        <v>1379</v>
      </c>
      <c r="O71" s="12">
        <f t="shared" si="5"/>
        <v>1673</v>
      </c>
      <c r="P71" s="91"/>
      <c r="Q71" s="12">
        <f>646-352</f>
        <v>294</v>
      </c>
      <c r="R71" s="12">
        <f>3002-1623</f>
        <v>1379</v>
      </c>
      <c r="S71" s="12">
        <f t="shared" si="1"/>
        <v>1673</v>
      </c>
      <c r="T71" s="91"/>
      <c r="U71" s="12">
        <f t="shared" si="3"/>
        <v>588</v>
      </c>
      <c r="V71" s="12">
        <f t="shared" si="4"/>
        <v>2758</v>
      </c>
      <c r="W71" s="12">
        <f t="shared" si="2"/>
        <v>3346</v>
      </c>
    </row>
    <row r="72" spans="1:23" ht="29.25">
      <c r="A72" s="239" t="s">
        <v>7</v>
      </c>
      <c r="B72" s="56" t="s">
        <v>836</v>
      </c>
      <c r="C72" s="56" t="s">
        <v>875</v>
      </c>
      <c r="D72" s="51"/>
      <c r="E72" s="51" t="s">
        <v>671</v>
      </c>
      <c r="F72" s="51" t="s">
        <v>234</v>
      </c>
      <c r="G72" s="51" t="s">
        <v>838</v>
      </c>
      <c r="H72" s="302" t="s">
        <v>876</v>
      </c>
      <c r="I72" s="42">
        <v>1499909</v>
      </c>
      <c r="J72" s="4" t="s">
        <v>12</v>
      </c>
      <c r="K72" s="76">
        <v>1.8</v>
      </c>
      <c r="L72" s="91"/>
      <c r="M72" s="12">
        <f>5519-4818</f>
        <v>701</v>
      </c>
      <c r="N72" s="12">
        <f>23923-21124</f>
        <v>2799</v>
      </c>
      <c r="O72" s="12">
        <f t="shared" si="5"/>
        <v>3500</v>
      </c>
      <c r="P72" s="91"/>
      <c r="Q72" s="12">
        <f>5519-4818</f>
        <v>701</v>
      </c>
      <c r="R72" s="12">
        <f>23923-21124</f>
        <v>2799</v>
      </c>
      <c r="S72" s="12">
        <f t="shared" si="1"/>
        <v>3500</v>
      </c>
      <c r="T72" s="91"/>
      <c r="U72" s="12">
        <f t="shared" si="3"/>
        <v>1402</v>
      </c>
      <c r="V72" s="12">
        <f t="shared" si="4"/>
        <v>5598</v>
      </c>
      <c r="W72" s="12">
        <f t="shared" si="2"/>
        <v>7000</v>
      </c>
    </row>
    <row r="73" spans="1:23" ht="29.25">
      <c r="A73" s="239" t="s">
        <v>7</v>
      </c>
      <c r="B73" s="56" t="s">
        <v>836</v>
      </c>
      <c r="C73" s="56" t="s">
        <v>877</v>
      </c>
      <c r="D73" s="51"/>
      <c r="E73" s="51">
        <v>26</v>
      </c>
      <c r="F73" s="51" t="s">
        <v>234</v>
      </c>
      <c r="G73" s="51" t="s">
        <v>838</v>
      </c>
      <c r="H73" s="302" t="s">
        <v>878</v>
      </c>
      <c r="I73" s="42">
        <v>83903913</v>
      </c>
      <c r="J73" s="4" t="s">
        <v>12</v>
      </c>
      <c r="K73" s="76">
        <v>2.7</v>
      </c>
      <c r="L73" s="91"/>
      <c r="M73" s="12">
        <f>1205-650</f>
        <v>555</v>
      </c>
      <c r="N73" s="12">
        <f>5181-2774</f>
        <v>2407</v>
      </c>
      <c r="O73" s="12">
        <f t="shared" si="5"/>
        <v>2962</v>
      </c>
      <c r="P73" s="91"/>
      <c r="Q73" s="12">
        <f>1205-650</f>
        <v>555</v>
      </c>
      <c r="R73" s="12">
        <f>5181-2774</f>
        <v>2407</v>
      </c>
      <c r="S73" s="12">
        <f t="shared" si="1"/>
        <v>2962</v>
      </c>
      <c r="T73" s="91"/>
      <c r="U73" s="12">
        <f t="shared" si="3"/>
        <v>1110</v>
      </c>
      <c r="V73" s="12">
        <f t="shared" si="4"/>
        <v>4814</v>
      </c>
      <c r="W73" s="12">
        <f t="shared" si="2"/>
        <v>5924</v>
      </c>
    </row>
    <row r="74" spans="1:23" ht="29.25">
      <c r="A74" s="239" t="s">
        <v>7</v>
      </c>
      <c r="B74" s="56" t="s">
        <v>836</v>
      </c>
      <c r="C74" s="56" t="s">
        <v>879</v>
      </c>
      <c r="D74" s="51"/>
      <c r="E74" s="51" t="s">
        <v>141</v>
      </c>
      <c r="F74" s="51" t="s">
        <v>234</v>
      </c>
      <c r="G74" s="51" t="s">
        <v>838</v>
      </c>
      <c r="H74" s="302" t="s">
        <v>880</v>
      </c>
      <c r="I74" s="42">
        <v>83907870</v>
      </c>
      <c r="J74" s="4" t="s">
        <v>12</v>
      </c>
      <c r="K74" s="76">
        <v>3.2</v>
      </c>
      <c r="L74" s="91"/>
      <c r="M74" s="12">
        <f>1484-811</f>
        <v>673</v>
      </c>
      <c r="N74" s="12">
        <f>6363-3402</f>
        <v>2961</v>
      </c>
      <c r="O74" s="12">
        <f t="shared" si="5"/>
        <v>3634</v>
      </c>
      <c r="P74" s="91"/>
      <c r="Q74" s="12">
        <f>1484-811</f>
        <v>673</v>
      </c>
      <c r="R74" s="12">
        <f>6363-3402</f>
        <v>2961</v>
      </c>
      <c r="S74" s="12">
        <f t="shared" si="1"/>
        <v>3634</v>
      </c>
      <c r="T74" s="91"/>
      <c r="U74" s="12">
        <f t="shared" si="3"/>
        <v>1346</v>
      </c>
      <c r="V74" s="12">
        <f t="shared" si="4"/>
        <v>5922</v>
      </c>
      <c r="W74" s="12">
        <f t="shared" si="2"/>
        <v>7268</v>
      </c>
    </row>
    <row r="75" spans="1:23" ht="29.25">
      <c r="A75" s="239" t="s">
        <v>7</v>
      </c>
      <c r="B75" s="56" t="s">
        <v>836</v>
      </c>
      <c r="C75" s="56" t="s">
        <v>879</v>
      </c>
      <c r="D75" s="51"/>
      <c r="E75" s="51" t="s">
        <v>671</v>
      </c>
      <c r="F75" s="51" t="s">
        <v>234</v>
      </c>
      <c r="G75" s="51" t="s">
        <v>838</v>
      </c>
      <c r="H75" s="302" t="s">
        <v>881</v>
      </c>
      <c r="I75" s="42">
        <v>41922</v>
      </c>
      <c r="J75" s="4" t="s">
        <v>12</v>
      </c>
      <c r="K75" s="76">
        <v>1</v>
      </c>
      <c r="L75" s="91"/>
      <c r="M75" s="12">
        <f>15222-14258</f>
        <v>964</v>
      </c>
      <c r="N75" s="12">
        <f>44844-42735</f>
        <v>2109</v>
      </c>
      <c r="O75" s="12">
        <f t="shared" si="5"/>
        <v>3073</v>
      </c>
      <c r="P75" s="91"/>
      <c r="Q75" s="12">
        <f>15222-14258</f>
        <v>964</v>
      </c>
      <c r="R75" s="12">
        <f>44844-42735</f>
        <v>2109</v>
      </c>
      <c r="S75" s="12">
        <f t="shared" si="1"/>
        <v>3073</v>
      </c>
      <c r="T75" s="91"/>
      <c r="U75" s="12">
        <f t="shared" si="3"/>
        <v>1928</v>
      </c>
      <c r="V75" s="12">
        <f t="shared" si="4"/>
        <v>4218</v>
      </c>
      <c r="W75" s="12">
        <f t="shared" si="2"/>
        <v>6146</v>
      </c>
    </row>
    <row r="76" spans="1:23" ht="29.25">
      <c r="A76" s="239" t="s">
        <v>7</v>
      </c>
      <c r="B76" s="56" t="s">
        <v>836</v>
      </c>
      <c r="C76" s="56" t="s">
        <v>882</v>
      </c>
      <c r="D76" s="51"/>
      <c r="E76" s="51">
        <v>12</v>
      </c>
      <c r="F76" s="51" t="s">
        <v>234</v>
      </c>
      <c r="G76" s="51" t="s">
        <v>838</v>
      </c>
      <c r="H76" s="302" t="s">
        <v>883</v>
      </c>
      <c r="I76" s="42">
        <v>127316</v>
      </c>
      <c r="J76" s="4" t="s">
        <v>12</v>
      </c>
      <c r="K76" s="76">
        <v>1</v>
      </c>
      <c r="L76" s="91"/>
      <c r="M76" s="12">
        <f>3579-3037</f>
        <v>542</v>
      </c>
      <c r="N76" s="12">
        <f>11125-9841</f>
        <v>1284</v>
      </c>
      <c r="O76" s="12">
        <f t="shared" si="5"/>
        <v>1826</v>
      </c>
      <c r="P76" s="91"/>
      <c r="Q76" s="12">
        <f>3579-3037</f>
        <v>542</v>
      </c>
      <c r="R76" s="12">
        <f>11125-9841</f>
        <v>1284</v>
      </c>
      <c r="S76" s="12">
        <f t="shared" si="1"/>
        <v>1826</v>
      </c>
      <c r="T76" s="91"/>
      <c r="U76" s="12">
        <f t="shared" si="3"/>
        <v>1084</v>
      </c>
      <c r="V76" s="12">
        <f t="shared" si="4"/>
        <v>2568</v>
      </c>
      <c r="W76" s="12">
        <f t="shared" si="2"/>
        <v>3652</v>
      </c>
    </row>
    <row r="77" spans="1:23" ht="29.25">
      <c r="A77" s="239" t="s">
        <v>7</v>
      </c>
      <c r="B77" s="56" t="s">
        <v>836</v>
      </c>
      <c r="C77" s="56" t="s">
        <v>884</v>
      </c>
      <c r="D77" s="51"/>
      <c r="E77" s="51">
        <v>9</v>
      </c>
      <c r="F77" s="51" t="s">
        <v>234</v>
      </c>
      <c r="G77" s="51" t="s">
        <v>838</v>
      </c>
      <c r="H77" s="302" t="s">
        <v>885</v>
      </c>
      <c r="I77" s="42">
        <v>1503157</v>
      </c>
      <c r="J77" s="4" t="s">
        <v>12</v>
      </c>
      <c r="K77" s="76">
        <v>1</v>
      </c>
      <c r="L77" s="91"/>
      <c r="M77" s="12">
        <f>1760-1599</f>
        <v>161</v>
      </c>
      <c r="N77" s="12">
        <f>6717-6051</f>
        <v>666</v>
      </c>
      <c r="O77" s="12">
        <f t="shared" si="5"/>
        <v>827</v>
      </c>
      <c r="P77" s="91"/>
      <c r="Q77" s="12">
        <f>1760-1599</f>
        <v>161</v>
      </c>
      <c r="R77" s="12">
        <f>6717-6051</f>
        <v>666</v>
      </c>
      <c r="S77" s="12">
        <f t="shared" si="1"/>
        <v>827</v>
      </c>
      <c r="T77" s="91"/>
      <c r="U77" s="12">
        <f t="shared" si="3"/>
        <v>322</v>
      </c>
      <c r="V77" s="12">
        <f t="shared" si="4"/>
        <v>1332</v>
      </c>
      <c r="W77" s="12">
        <f t="shared" si="2"/>
        <v>1654</v>
      </c>
    </row>
    <row r="78" spans="1:23" ht="29.25">
      <c r="A78" s="239" t="s">
        <v>7</v>
      </c>
      <c r="B78" s="56" t="s">
        <v>836</v>
      </c>
      <c r="C78" s="56" t="s">
        <v>1363</v>
      </c>
      <c r="D78" s="51"/>
      <c r="E78" s="51">
        <v>8</v>
      </c>
      <c r="F78" s="51" t="s">
        <v>234</v>
      </c>
      <c r="G78" s="51" t="s">
        <v>838</v>
      </c>
      <c r="H78" s="302" t="s">
        <v>886</v>
      </c>
      <c r="I78" s="42">
        <v>1440396</v>
      </c>
      <c r="J78" s="4" t="s">
        <v>12</v>
      </c>
      <c r="K78" s="76">
        <v>1</v>
      </c>
      <c r="L78" s="91"/>
      <c r="M78" s="12">
        <f>1200-1066</f>
        <v>134</v>
      </c>
      <c r="N78" s="12">
        <f>4767-4236</f>
        <v>531</v>
      </c>
      <c r="O78" s="12">
        <f t="shared" si="5"/>
        <v>665</v>
      </c>
      <c r="P78" s="91"/>
      <c r="Q78" s="12">
        <f>1200-1066</f>
        <v>134</v>
      </c>
      <c r="R78" s="12">
        <f>4767-4236</f>
        <v>531</v>
      </c>
      <c r="S78" s="12">
        <f t="shared" si="1"/>
        <v>665</v>
      </c>
      <c r="T78" s="91"/>
      <c r="U78" s="12">
        <f t="shared" si="3"/>
        <v>268</v>
      </c>
      <c r="V78" s="12">
        <f t="shared" si="4"/>
        <v>1062</v>
      </c>
      <c r="W78" s="12">
        <f t="shared" si="2"/>
        <v>1330</v>
      </c>
    </row>
    <row r="79" spans="1:23" ht="29.25">
      <c r="A79" s="239" t="s">
        <v>7</v>
      </c>
      <c r="B79" s="56" t="s">
        <v>836</v>
      </c>
      <c r="C79" s="56" t="s">
        <v>882</v>
      </c>
      <c r="D79" s="51"/>
      <c r="E79" s="51">
        <v>3</v>
      </c>
      <c r="F79" s="51" t="s">
        <v>234</v>
      </c>
      <c r="G79" s="51" t="s">
        <v>838</v>
      </c>
      <c r="H79" s="302" t="s">
        <v>887</v>
      </c>
      <c r="I79" s="42">
        <v>106647</v>
      </c>
      <c r="J79" s="4" t="s">
        <v>12</v>
      </c>
      <c r="K79" s="76">
        <v>0.8</v>
      </c>
      <c r="L79" s="91"/>
      <c r="M79" s="12">
        <f>1552-1490</f>
        <v>62</v>
      </c>
      <c r="N79" s="12">
        <f>4046-3765</f>
        <v>281</v>
      </c>
      <c r="O79" s="12">
        <f t="shared" si="5"/>
        <v>343</v>
      </c>
      <c r="P79" s="91"/>
      <c r="Q79" s="12">
        <f>1552-1490</f>
        <v>62</v>
      </c>
      <c r="R79" s="12">
        <f>4046-3765</f>
        <v>281</v>
      </c>
      <c r="S79" s="12">
        <f t="shared" si="1"/>
        <v>343</v>
      </c>
      <c r="T79" s="91"/>
      <c r="U79" s="12">
        <f t="shared" si="3"/>
        <v>124</v>
      </c>
      <c r="V79" s="12">
        <f t="shared" si="4"/>
        <v>562</v>
      </c>
      <c r="W79" s="12">
        <f t="shared" si="2"/>
        <v>686</v>
      </c>
    </row>
    <row r="80" spans="1:23" ht="29.25">
      <c r="A80" s="239" t="s">
        <v>7</v>
      </c>
      <c r="B80" s="56" t="s">
        <v>836</v>
      </c>
      <c r="C80" s="56" t="s">
        <v>888</v>
      </c>
      <c r="D80" s="51"/>
      <c r="E80" s="51">
        <v>15</v>
      </c>
      <c r="F80" s="51" t="s">
        <v>234</v>
      </c>
      <c r="G80" s="51" t="s">
        <v>838</v>
      </c>
      <c r="H80" s="302" t="s">
        <v>889</v>
      </c>
      <c r="I80" s="42">
        <v>83903787</v>
      </c>
      <c r="J80" s="4" t="s">
        <v>12</v>
      </c>
      <c r="K80" s="76">
        <v>0.5</v>
      </c>
      <c r="L80" s="91"/>
      <c r="M80" s="12">
        <f>1444-808</f>
        <v>636</v>
      </c>
      <c r="N80" s="12">
        <f>6426-3461</f>
        <v>2965</v>
      </c>
      <c r="O80" s="12">
        <f t="shared" si="5"/>
        <v>3601</v>
      </c>
      <c r="P80" s="91"/>
      <c r="Q80" s="12">
        <f>1444-808</f>
        <v>636</v>
      </c>
      <c r="R80" s="12">
        <f>6426-3461</f>
        <v>2965</v>
      </c>
      <c r="S80" s="12">
        <f t="shared" si="1"/>
        <v>3601</v>
      </c>
      <c r="T80" s="91"/>
      <c r="U80" s="12">
        <f t="shared" si="3"/>
        <v>1272</v>
      </c>
      <c r="V80" s="12">
        <f t="shared" si="4"/>
        <v>5930</v>
      </c>
      <c r="W80" s="12">
        <f t="shared" si="2"/>
        <v>7202</v>
      </c>
    </row>
    <row r="81" spans="1:23" ht="29.25">
      <c r="A81" s="239" t="s">
        <v>7</v>
      </c>
      <c r="B81" s="56" t="s">
        <v>836</v>
      </c>
      <c r="C81" s="56" t="s">
        <v>888</v>
      </c>
      <c r="D81" s="51"/>
      <c r="E81" s="51" t="s">
        <v>141</v>
      </c>
      <c r="F81" s="51" t="s">
        <v>234</v>
      </c>
      <c r="G81" s="51" t="s">
        <v>838</v>
      </c>
      <c r="H81" s="302" t="s">
        <v>890</v>
      </c>
      <c r="I81" s="42">
        <v>83903904</v>
      </c>
      <c r="J81" s="4" t="s">
        <v>12</v>
      </c>
      <c r="K81" s="76">
        <v>1.5</v>
      </c>
      <c r="L81" s="91"/>
      <c r="M81" s="12">
        <f>826-450</f>
        <v>376</v>
      </c>
      <c r="N81" s="12">
        <f>3516-1890</f>
        <v>1626</v>
      </c>
      <c r="O81" s="12">
        <f t="shared" si="5"/>
        <v>2002</v>
      </c>
      <c r="P81" s="91"/>
      <c r="Q81" s="12">
        <f>826-450</f>
        <v>376</v>
      </c>
      <c r="R81" s="12">
        <f>3516-1890</f>
        <v>1626</v>
      </c>
      <c r="S81" s="12">
        <f t="shared" si="1"/>
        <v>2002</v>
      </c>
      <c r="T81" s="91"/>
      <c r="U81" s="12">
        <f t="shared" si="3"/>
        <v>752</v>
      </c>
      <c r="V81" s="12">
        <f t="shared" si="4"/>
        <v>3252</v>
      </c>
      <c r="W81" s="12">
        <f t="shared" si="2"/>
        <v>4004</v>
      </c>
    </row>
    <row r="82" spans="1:23" ht="29.25">
      <c r="A82" s="239" t="s">
        <v>7</v>
      </c>
      <c r="B82" s="56" t="s">
        <v>836</v>
      </c>
      <c r="C82" s="56" t="s">
        <v>888</v>
      </c>
      <c r="D82" s="51"/>
      <c r="E82" s="51" t="s">
        <v>671</v>
      </c>
      <c r="F82" s="51" t="s">
        <v>234</v>
      </c>
      <c r="G82" s="51" t="s">
        <v>838</v>
      </c>
      <c r="H82" s="302" t="s">
        <v>891</v>
      </c>
      <c r="I82" s="42">
        <v>83903889</v>
      </c>
      <c r="J82" s="4" t="s">
        <v>12</v>
      </c>
      <c r="K82" s="76">
        <v>0.9</v>
      </c>
      <c r="L82" s="91"/>
      <c r="M82" s="12">
        <f>355-191</f>
        <v>164</v>
      </c>
      <c r="N82" s="12">
        <f>1478-782</f>
        <v>696</v>
      </c>
      <c r="O82" s="12">
        <f aca="true" t="shared" si="6" ref="O82:O95">M82+N82</f>
        <v>860</v>
      </c>
      <c r="P82" s="91"/>
      <c r="Q82" s="12">
        <f>355-191</f>
        <v>164</v>
      </c>
      <c r="R82" s="12">
        <f>1478-782</f>
        <v>696</v>
      </c>
      <c r="S82" s="12">
        <f aca="true" t="shared" si="7" ref="S82:S101">Q82+R82</f>
        <v>860</v>
      </c>
      <c r="T82" s="91"/>
      <c r="U82" s="12">
        <f t="shared" si="3"/>
        <v>328</v>
      </c>
      <c r="V82" s="12">
        <f t="shared" si="4"/>
        <v>1392</v>
      </c>
      <c r="W82" s="12">
        <f aca="true" t="shared" si="8" ref="W82:W101">U82+V82</f>
        <v>1720</v>
      </c>
    </row>
    <row r="83" spans="1:23" ht="29.25">
      <c r="A83" s="239" t="s">
        <v>7</v>
      </c>
      <c r="B83" s="56" t="s">
        <v>836</v>
      </c>
      <c r="C83" s="56" t="s">
        <v>892</v>
      </c>
      <c r="D83" s="51"/>
      <c r="E83" s="51"/>
      <c r="F83" s="51" t="s">
        <v>234</v>
      </c>
      <c r="G83" s="51" t="s">
        <v>838</v>
      </c>
      <c r="H83" s="302" t="s">
        <v>893</v>
      </c>
      <c r="I83" s="42">
        <v>83904307</v>
      </c>
      <c r="J83" s="4" t="s">
        <v>12</v>
      </c>
      <c r="K83" s="76">
        <v>2.7</v>
      </c>
      <c r="L83" s="91"/>
      <c r="M83" s="12">
        <f>1437-771</f>
        <v>666</v>
      </c>
      <c r="N83" s="12">
        <f>6349-3381</f>
        <v>2968</v>
      </c>
      <c r="O83" s="12">
        <f t="shared" si="6"/>
        <v>3634</v>
      </c>
      <c r="P83" s="91"/>
      <c r="Q83" s="12">
        <f>1437-771</f>
        <v>666</v>
      </c>
      <c r="R83" s="12">
        <f>6349-3381</f>
        <v>2968</v>
      </c>
      <c r="S83" s="12">
        <f t="shared" si="7"/>
        <v>3634</v>
      </c>
      <c r="T83" s="91"/>
      <c r="U83" s="12">
        <f aca="true" t="shared" si="9" ref="U83:U101">M83+Q83</f>
        <v>1332</v>
      </c>
      <c r="V83" s="12">
        <f aca="true" t="shared" si="10" ref="V83:V101">N83+R83</f>
        <v>5936</v>
      </c>
      <c r="W83" s="12">
        <f t="shared" si="8"/>
        <v>7268</v>
      </c>
    </row>
    <row r="84" spans="1:23" ht="29.25">
      <c r="A84" s="239" t="s">
        <v>7</v>
      </c>
      <c r="B84" s="56" t="s">
        <v>836</v>
      </c>
      <c r="C84" s="56" t="s">
        <v>894</v>
      </c>
      <c r="D84" s="51"/>
      <c r="E84" s="51">
        <v>5</v>
      </c>
      <c r="F84" s="51" t="s">
        <v>234</v>
      </c>
      <c r="G84" s="51" t="s">
        <v>838</v>
      </c>
      <c r="H84" s="302" t="s">
        <v>895</v>
      </c>
      <c r="I84" s="42">
        <v>83907805</v>
      </c>
      <c r="J84" s="4" t="s">
        <v>12</v>
      </c>
      <c r="K84" s="76">
        <v>1.2</v>
      </c>
      <c r="L84" s="91"/>
      <c r="M84" s="12">
        <f>481-258</f>
        <v>223</v>
      </c>
      <c r="N84" s="12">
        <f>1945-1037</f>
        <v>908</v>
      </c>
      <c r="O84" s="12">
        <f t="shared" si="6"/>
        <v>1131</v>
      </c>
      <c r="P84" s="91"/>
      <c r="Q84" s="12">
        <f>481-258</f>
        <v>223</v>
      </c>
      <c r="R84" s="12">
        <f>1945-1037</f>
        <v>908</v>
      </c>
      <c r="S84" s="12">
        <f t="shared" si="7"/>
        <v>1131</v>
      </c>
      <c r="T84" s="91"/>
      <c r="U84" s="12">
        <f t="shared" si="9"/>
        <v>446</v>
      </c>
      <c r="V84" s="12">
        <f t="shared" si="10"/>
        <v>1816</v>
      </c>
      <c r="W84" s="12">
        <f t="shared" si="8"/>
        <v>2262</v>
      </c>
    </row>
    <row r="85" spans="1:23" ht="29.25">
      <c r="A85" s="239" t="s">
        <v>7</v>
      </c>
      <c r="B85" s="56" t="s">
        <v>836</v>
      </c>
      <c r="C85" s="56" t="s">
        <v>896</v>
      </c>
      <c r="D85" s="51"/>
      <c r="E85" s="51"/>
      <c r="F85" s="51" t="s">
        <v>234</v>
      </c>
      <c r="G85" s="51" t="s">
        <v>838</v>
      </c>
      <c r="H85" s="302" t="s">
        <v>897</v>
      </c>
      <c r="I85" s="42">
        <v>83904327</v>
      </c>
      <c r="J85" s="4" t="s">
        <v>12</v>
      </c>
      <c r="K85" s="76">
        <v>1.8</v>
      </c>
      <c r="L85" s="91"/>
      <c r="M85" s="12">
        <f>988-505</f>
        <v>483</v>
      </c>
      <c r="N85" s="12">
        <f>4284-2292</f>
        <v>1992</v>
      </c>
      <c r="O85" s="12">
        <f t="shared" si="6"/>
        <v>2475</v>
      </c>
      <c r="P85" s="91"/>
      <c r="Q85" s="12">
        <f>988-505</f>
        <v>483</v>
      </c>
      <c r="R85" s="12">
        <f>4284-2292</f>
        <v>1992</v>
      </c>
      <c r="S85" s="12">
        <f t="shared" si="7"/>
        <v>2475</v>
      </c>
      <c r="T85" s="91"/>
      <c r="U85" s="12">
        <f t="shared" si="9"/>
        <v>966</v>
      </c>
      <c r="V85" s="12">
        <f t="shared" si="10"/>
        <v>3984</v>
      </c>
      <c r="W85" s="12">
        <f t="shared" si="8"/>
        <v>4950</v>
      </c>
    </row>
    <row r="86" spans="1:23" ht="29.25">
      <c r="A86" s="239" t="s">
        <v>7</v>
      </c>
      <c r="B86" s="56" t="s">
        <v>836</v>
      </c>
      <c r="C86" s="56" t="s">
        <v>1364</v>
      </c>
      <c r="D86" s="51"/>
      <c r="E86" s="51">
        <v>1</v>
      </c>
      <c r="F86" s="51" t="s">
        <v>234</v>
      </c>
      <c r="G86" s="51" t="s">
        <v>838</v>
      </c>
      <c r="H86" s="302" t="s">
        <v>898</v>
      </c>
      <c r="I86" s="42">
        <v>83903911</v>
      </c>
      <c r="J86" s="4" t="s">
        <v>12</v>
      </c>
      <c r="K86" s="76">
        <v>0.6</v>
      </c>
      <c r="L86" s="91"/>
      <c r="M86" s="12">
        <f>769-407</f>
        <v>362</v>
      </c>
      <c r="N86" s="12">
        <f>3455-1833</f>
        <v>1622</v>
      </c>
      <c r="O86" s="12">
        <f t="shared" si="6"/>
        <v>1984</v>
      </c>
      <c r="P86" s="91"/>
      <c r="Q86" s="12">
        <f>769-407</f>
        <v>362</v>
      </c>
      <c r="R86" s="12">
        <f>3455-1833</f>
        <v>1622</v>
      </c>
      <c r="S86" s="12">
        <f t="shared" si="7"/>
        <v>1984</v>
      </c>
      <c r="T86" s="91"/>
      <c r="U86" s="12">
        <f t="shared" si="9"/>
        <v>724</v>
      </c>
      <c r="V86" s="12">
        <f t="shared" si="10"/>
        <v>3244</v>
      </c>
      <c r="W86" s="12">
        <f t="shared" si="8"/>
        <v>3968</v>
      </c>
    </row>
    <row r="87" spans="1:23" ht="29.25">
      <c r="A87" s="239" t="s">
        <v>7</v>
      </c>
      <c r="B87" s="56" t="s">
        <v>836</v>
      </c>
      <c r="C87" s="56" t="s">
        <v>1364</v>
      </c>
      <c r="D87" s="51"/>
      <c r="E87" s="51">
        <v>4</v>
      </c>
      <c r="F87" s="51" t="s">
        <v>234</v>
      </c>
      <c r="G87" s="51" t="s">
        <v>838</v>
      </c>
      <c r="H87" s="302" t="s">
        <v>899</v>
      </c>
      <c r="I87" s="42">
        <v>83907807</v>
      </c>
      <c r="J87" s="4" t="s">
        <v>12</v>
      </c>
      <c r="K87" s="76">
        <v>1.5</v>
      </c>
      <c r="L87" s="91"/>
      <c r="M87" s="12">
        <f>600-270</f>
        <v>330</v>
      </c>
      <c r="N87" s="12">
        <f>2311-1070</f>
        <v>1241</v>
      </c>
      <c r="O87" s="12">
        <f t="shared" si="6"/>
        <v>1571</v>
      </c>
      <c r="P87" s="91"/>
      <c r="Q87" s="12">
        <f>600-270</f>
        <v>330</v>
      </c>
      <c r="R87" s="12">
        <f>2311-1070</f>
        <v>1241</v>
      </c>
      <c r="S87" s="12">
        <f t="shared" si="7"/>
        <v>1571</v>
      </c>
      <c r="T87" s="91"/>
      <c r="U87" s="12">
        <f t="shared" si="9"/>
        <v>660</v>
      </c>
      <c r="V87" s="12">
        <f t="shared" si="10"/>
        <v>2482</v>
      </c>
      <c r="W87" s="12">
        <f t="shared" si="8"/>
        <v>3142</v>
      </c>
    </row>
    <row r="88" spans="1:23" ht="29.25">
      <c r="A88" s="239" t="s">
        <v>7</v>
      </c>
      <c r="B88" s="56" t="s">
        <v>836</v>
      </c>
      <c r="C88" s="56" t="s">
        <v>1364</v>
      </c>
      <c r="D88" s="51"/>
      <c r="E88" s="51"/>
      <c r="F88" s="51" t="s">
        <v>234</v>
      </c>
      <c r="G88" s="51" t="s">
        <v>838</v>
      </c>
      <c r="H88" s="302" t="s">
        <v>900</v>
      </c>
      <c r="I88" s="42">
        <v>83903915</v>
      </c>
      <c r="J88" s="4" t="s">
        <v>12</v>
      </c>
      <c r="K88" s="76">
        <v>0.7</v>
      </c>
      <c r="L88" s="91"/>
      <c r="M88" s="12">
        <f>655-311</f>
        <v>344</v>
      </c>
      <c r="N88" s="12">
        <f>2570-1266</f>
        <v>1304</v>
      </c>
      <c r="O88" s="12">
        <f t="shared" si="6"/>
        <v>1648</v>
      </c>
      <c r="P88" s="91"/>
      <c r="Q88" s="12">
        <f>655-311</f>
        <v>344</v>
      </c>
      <c r="R88" s="12">
        <f>2570-1266</f>
        <v>1304</v>
      </c>
      <c r="S88" s="12">
        <f t="shared" si="7"/>
        <v>1648</v>
      </c>
      <c r="T88" s="91"/>
      <c r="U88" s="12">
        <f t="shared" si="9"/>
        <v>688</v>
      </c>
      <c r="V88" s="12">
        <f t="shared" si="10"/>
        <v>2608</v>
      </c>
      <c r="W88" s="12">
        <f t="shared" si="8"/>
        <v>3296</v>
      </c>
    </row>
    <row r="89" spans="1:23" ht="29.25">
      <c r="A89" s="239" t="s">
        <v>7</v>
      </c>
      <c r="B89" s="56" t="s">
        <v>836</v>
      </c>
      <c r="C89" s="56" t="s">
        <v>1364</v>
      </c>
      <c r="D89" s="51"/>
      <c r="E89" s="51">
        <v>3</v>
      </c>
      <c r="F89" s="51" t="s">
        <v>234</v>
      </c>
      <c r="G89" s="51" t="s">
        <v>838</v>
      </c>
      <c r="H89" s="302" t="s">
        <v>901</v>
      </c>
      <c r="I89" s="42">
        <v>83907978</v>
      </c>
      <c r="J89" s="4" t="s">
        <v>12</v>
      </c>
      <c r="K89" s="76">
        <v>0.8</v>
      </c>
      <c r="L89" s="91"/>
      <c r="M89" s="12">
        <f>1555-864</f>
        <v>691</v>
      </c>
      <c r="N89" s="12">
        <f>6556-3547</f>
        <v>3009</v>
      </c>
      <c r="O89" s="12">
        <f t="shared" si="6"/>
        <v>3700</v>
      </c>
      <c r="P89" s="91"/>
      <c r="Q89" s="12">
        <f>1555-864</f>
        <v>691</v>
      </c>
      <c r="R89" s="12">
        <f>6556-3547</f>
        <v>3009</v>
      </c>
      <c r="S89" s="12">
        <f t="shared" si="7"/>
        <v>3700</v>
      </c>
      <c r="T89" s="91"/>
      <c r="U89" s="12">
        <f t="shared" si="9"/>
        <v>1382</v>
      </c>
      <c r="V89" s="12">
        <f t="shared" si="10"/>
        <v>6018</v>
      </c>
      <c r="W89" s="12">
        <f t="shared" si="8"/>
        <v>7400</v>
      </c>
    </row>
    <row r="90" spans="1:23" ht="29.25">
      <c r="A90" s="239" t="s">
        <v>7</v>
      </c>
      <c r="B90" s="56" t="s">
        <v>836</v>
      </c>
      <c r="C90" s="56" t="s">
        <v>944</v>
      </c>
      <c r="D90" s="51" t="s">
        <v>407</v>
      </c>
      <c r="E90" s="51"/>
      <c r="F90" s="51" t="s">
        <v>234</v>
      </c>
      <c r="G90" s="51" t="s">
        <v>838</v>
      </c>
      <c r="H90" s="302" t="s">
        <v>945</v>
      </c>
      <c r="I90" s="42">
        <v>92952662</v>
      </c>
      <c r="J90" s="4" t="s">
        <v>12</v>
      </c>
      <c r="K90" s="76">
        <v>0.3</v>
      </c>
      <c r="L90" s="91"/>
      <c r="M90" s="12">
        <f>77-19</f>
        <v>58</v>
      </c>
      <c r="N90" s="12">
        <f>288-44</f>
        <v>244</v>
      </c>
      <c r="O90" s="12">
        <f t="shared" si="6"/>
        <v>302</v>
      </c>
      <c r="P90" s="91"/>
      <c r="Q90" s="12">
        <f>77-19</f>
        <v>58</v>
      </c>
      <c r="R90" s="12">
        <f>288-44</f>
        <v>244</v>
      </c>
      <c r="S90" s="12">
        <f t="shared" si="7"/>
        <v>302</v>
      </c>
      <c r="T90" s="91"/>
      <c r="U90" s="12">
        <f t="shared" si="9"/>
        <v>116</v>
      </c>
      <c r="V90" s="12">
        <f t="shared" si="10"/>
        <v>488</v>
      </c>
      <c r="W90" s="12">
        <f t="shared" si="8"/>
        <v>604</v>
      </c>
    </row>
    <row r="91" spans="1:23" s="19" customFormat="1" ht="29.25">
      <c r="A91" s="239" t="s">
        <v>7</v>
      </c>
      <c r="B91" s="30" t="s">
        <v>836</v>
      </c>
      <c r="C91" s="30" t="s">
        <v>838</v>
      </c>
      <c r="D91" s="45" t="s">
        <v>946</v>
      </c>
      <c r="E91" s="45"/>
      <c r="F91" s="45" t="s">
        <v>234</v>
      </c>
      <c r="G91" s="45" t="s">
        <v>838</v>
      </c>
      <c r="H91" s="303" t="s">
        <v>1284</v>
      </c>
      <c r="I91" s="45">
        <v>92952651</v>
      </c>
      <c r="J91" s="297" t="s">
        <v>12</v>
      </c>
      <c r="K91" s="298">
        <v>0.7</v>
      </c>
      <c r="L91" s="91"/>
      <c r="M91" s="142">
        <f>414-90</f>
        <v>324</v>
      </c>
      <c r="N91" s="142">
        <f>1581-276</f>
        <v>1305</v>
      </c>
      <c r="O91" s="12">
        <f t="shared" si="6"/>
        <v>1629</v>
      </c>
      <c r="P91" s="91"/>
      <c r="Q91" s="142">
        <f>414-90</f>
        <v>324</v>
      </c>
      <c r="R91" s="142">
        <f>1581-276</f>
        <v>1305</v>
      </c>
      <c r="S91" s="12">
        <f t="shared" si="7"/>
        <v>1629</v>
      </c>
      <c r="T91" s="91"/>
      <c r="U91" s="12">
        <f t="shared" si="9"/>
        <v>648</v>
      </c>
      <c r="V91" s="12">
        <f t="shared" si="10"/>
        <v>2610</v>
      </c>
      <c r="W91" s="12">
        <f t="shared" si="8"/>
        <v>3258</v>
      </c>
    </row>
    <row r="92" spans="1:23" s="19" customFormat="1" ht="29.25">
      <c r="A92" s="239" t="s">
        <v>7</v>
      </c>
      <c r="B92" s="25" t="s">
        <v>836</v>
      </c>
      <c r="C92" s="25" t="s">
        <v>1714</v>
      </c>
      <c r="D92" s="42"/>
      <c r="E92" s="42"/>
      <c r="F92" s="42" t="s">
        <v>234</v>
      </c>
      <c r="G92" s="42" t="s">
        <v>838</v>
      </c>
      <c r="H92" s="303" t="s">
        <v>1715</v>
      </c>
      <c r="I92" s="573">
        <v>92953210</v>
      </c>
      <c r="J92" s="69" t="s">
        <v>12</v>
      </c>
      <c r="K92" s="102">
        <v>0.1</v>
      </c>
      <c r="L92" s="91"/>
      <c r="M92" s="28">
        <f>116-20</f>
        <v>96</v>
      </c>
      <c r="N92" s="28">
        <f>516-80</f>
        <v>436</v>
      </c>
      <c r="O92" s="12">
        <f t="shared" si="6"/>
        <v>532</v>
      </c>
      <c r="P92" s="91"/>
      <c r="Q92" s="28">
        <f>116-20</f>
        <v>96</v>
      </c>
      <c r="R92" s="28">
        <f>516-80</f>
        <v>436</v>
      </c>
      <c r="S92" s="12">
        <f t="shared" si="7"/>
        <v>532</v>
      </c>
      <c r="T92" s="91"/>
      <c r="U92" s="12">
        <f t="shared" si="9"/>
        <v>192</v>
      </c>
      <c r="V92" s="12">
        <f t="shared" si="10"/>
        <v>872</v>
      </c>
      <c r="W92" s="12">
        <f t="shared" si="8"/>
        <v>1064</v>
      </c>
    </row>
    <row r="93" spans="1:23" s="19" customFormat="1" ht="29.25">
      <c r="A93" s="239" t="s">
        <v>7</v>
      </c>
      <c r="B93" s="60" t="s">
        <v>836</v>
      </c>
      <c r="C93" s="30" t="s">
        <v>896</v>
      </c>
      <c r="D93" s="45"/>
      <c r="E93" s="42"/>
      <c r="F93" s="51" t="s">
        <v>234</v>
      </c>
      <c r="G93" s="51" t="s">
        <v>838</v>
      </c>
      <c r="H93" s="302" t="s">
        <v>1713</v>
      </c>
      <c r="I93" s="42">
        <v>103719</v>
      </c>
      <c r="J93" s="4" t="s">
        <v>12</v>
      </c>
      <c r="K93" s="102">
        <v>0.5</v>
      </c>
      <c r="L93" s="91"/>
      <c r="M93" s="28">
        <f>1007-842</f>
        <v>165</v>
      </c>
      <c r="N93" s="28">
        <f>3521-2718</f>
        <v>803</v>
      </c>
      <c r="O93" s="12">
        <f t="shared" si="6"/>
        <v>968</v>
      </c>
      <c r="P93" s="91"/>
      <c r="Q93" s="28">
        <f>1007-842</f>
        <v>165</v>
      </c>
      <c r="R93" s="28">
        <f>3521-2718</f>
        <v>803</v>
      </c>
      <c r="S93" s="12">
        <f t="shared" si="7"/>
        <v>968</v>
      </c>
      <c r="T93" s="91"/>
      <c r="U93" s="12">
        <f t="shared" si="9"/>
        <v>330</v>
      </c>
      <c r="V93" s="12">
        <f t="shared" si="10"/>
        <v>1606</v>
      </c>
      <c r="W93" s="12">
        <f t="shared" si="8"/>
        <v>1936</v>
      </c>
    </row>
    <row r="94" spans="1:23" s="19" customFormat="1" ht="29.25">
      <c r="A94" s="239" t="s">
        <v>7</v>
      </c>
      <c r="B94" s="25" t="s">
        <v>836</v>
      </c>
      <c r="C94" s="30" t="s">
        <v>868</v>
      </c>
      <c r="D94" s="45"/>
      <c r="E94" s="42"/>
      <c r="F94" s="45" t="s">
        <v>234</v>
      </c>
      <c r="G94" s="45" t="s">
        <v>838</v>
      </c>
      <c r="H94" s="303" t="s">
        <v>1717</v>
      </c>
      <c r="I94" s="42">
        <v>1494754</v>
      </c>
      <c r="J94" s="69" t="s">
        <v>12</v>
      </c>
      <c r="K94" s="102">
        <v>1</v>
      </c>
      <c r="L94" s="41"/>
      <c r="M94" s="28">
        <f>1953-1899</f>
        <v>54</v>
      </c>
      <c r="N94" s="28">
        <f>2090-1831</f>
        <v>259</v>
      </c>
      <c r="O94" s="12">
        <f t="shared" si="6"/>
        <v>313</v>
      </c>
      <c r="P94" s="41"/>
      <c r="Q94" s="28">
        <f>1953-1899</f>
        <v>54</v>
      </c>
      <c r="R94" s="28">
        <f>2090-1831</f>
        <v>259</v>
      </c>
      <c r="S94" s="12">
        <f t="shared" si="7"/>
        <v>313</v>
      </c>
      <c r="T94" s="41"/>
      <c r="U94" s="12">
        <f t="shared" si="9"/>
        <v>108</v>
      </c>
      <c r="V94" s="12">
        <f t="shared" si="10"/>
        <v>518</v>
      </c>
      <c r="W94" s="12">
        <f t="shared" si="8"/>
        <v>626</v>
      </c>
    </row>
    <row r="95" spans="1:23" s="19" customFormat="1" ht="29.25">
      <c r="A95" s="239" t="s">
        <v>7</v>
      </c>
      <c r="B95" s="25" t="s">
        <v>836</v>
      </c>
      <c r="C95" s="51" t="s">
        <v>894</v>
      </c>
      <c r="D95" s="51"/>
      <c r="E95" s="56" t="s">
        <v>2108</v>
      </c>
      <c r="F95" s="51" t="s">
        <v>234</v>
      </c>
      <c r="G95" s="51" t="s">
        <v>838</v>
      </c>
      <c r="H95" s="302" t="s">
        <v>2109</v>
      </c>
      <c r="I95" s="51">
        <v>89013034</v>
      </c>
      <c r="J95" s="4" t="s">
        <v>12</v>
      </c>
      <c r="K95" s="76">
        <v>0.9</v>
      </c>
      <c r="L95" s="41"/>
      <c r="M95" s="28">
        <f>21*14</f>
        <v>294</v>
      </c>
      <c r="N95" s="28">
        <f>139*14</f>
        <v>1946</v>
      </c>
      <c r="O95" s="12">
        <f t="shared" si="6"/>
        <v>2240</v>
      </c>
      <c r="P95" s="41"/>
      <c r="Q95" s="28">
        <f>21*14</f>
        <v>294</v>
      </c>
      <c r="R95" s="28">
        <f>139*14</f>
        <v>1946</v>
      </c>
      <c r="S95" s="12">
        <f t="shared" si="7"/>
        <v>2240</v>
      </c>
      <c r="T95" s="41"/>
      <c r="U95" s="12">
        <f t="shared" si="9"/>
        <v>588</v>
      </c>
      <c r="V95" s="12">
        <f t="shared" si="10"/>
        <v>3892</v>
      </c>
      <c r="W95" s="12">
        <f t="shared" si="8"/>
        <v>4480</v>
      </c>
    </row>
    <row r="96" spans="1:23" s="19" customFormat="1" ht="29.25">
      <c r="A96" s="239" t="s">
        <v>7</v>
      </c>
      <c r="B96" s="21" t="s">
        <v>836</v>
      </c>
      <c r="C96" s="51" t="s">
        <v>2215</v>
      </c>
      <c r="D96" s="51"/>
      <c r="E96" s="56" t="s">
        <v>2216</v>
      </c>
      <c r="F96" s="51" t="s">
        <v>234</v>
      </c>
      <c r="G96" s="51" t="s">
        <v>838</v>
      </c>
      <c r="H96" s="302" t="s">
        <v>2217</v>
      </c>
      <c r="I96" s="51">
        <v>95799969</v>
      </c>
      <c r="J96" s="4" t="s">
        <v>12</v>
      </c>
      <c r="K96" s="314">
        <v>2</v>
      </c>
      <c r="L96" s="41"/>
      <c r="M96" s="28">
        <f>19*14</f>
        <v>266</v>
      </c>
      <c r="N96" s="28">
        <f>78*14</f>
        <v>1092</v>
      </c>
      <c r="O96" s="12">
        <f aca="true" t="shared" si="11" ref="O96:O101">M96+N96</f>
        <v>1358</v>
      </c>
      <c r="P96" s="41"/>
      <c r="Q96" s="28">
        <f>19*14</f>
        <v>266</v>
      </c>
      <c r="R96" s="28">
        <f>78*14</f>
        <v>1092</v>
      </c>
      <c r="S96" s="12">
        <f t="shared" si="7"/>
        <v>1358</v>
      </c>
      <c r="T96" s="41"/>
      <c r="U96" s="12">
        <f t="shared" si="9"/>
        <v>532</v>
      </c>
      <c r="V96" s="12">
        <f t="shared" si="10"/>
        <v>2184</v>
      </c>
      <c r="W96" s="12">
        <f t="shared" si="8"/>
        <v>2716</v>
      </c>
    </row>
    <row r="97" spans="1:23" s="19" customFormat="1" ht="29.25">
      <c r="A97" s="239" t="s">
        <v>7</v>
      </c>
      <c r="B97" s="25" t="s">
        <v>836</v>
      </c>
      <c r="C97" s="51" t="s">
        <v>2218</v>
      </c>
      <c r="D97" s="51"/>
      <c r="E97" s="56" t="s">
        <v>2219</v>
      </c>
      <c r="F97" s="51" t="s">
        <v>234</v>
      </c>
      <c r="G97" s="51" t="s">
        <v>838</v>
      </c>
      <c r="H97" s="302" t="s">
        <v>2220</v>
      </c>
      <c r="I97" s="51">
        <v>83991017</v>
      </c>
      <c r="J97" s="4" t="s">
        <v>12</v>
      </c>
      <c r="K97" s="314">
        <v>0.8</v>
      </c>
      <c r="L97" s="41"/>
      <c r="M97" s="28">
        <f>12*14</f>
        <v>168</v>
      </c>
      <c r="N97" s="28">
        <f>39*14</f>
        <v>546</v>
      </c>
      <c r="O97" s="12">
        <f t="shared" si="11"/>
        <v>714</v>
      </c>
      <c r="P97" s="41"/>
      <c r="Q97" s="28">
        <f>12*14</f>
        <v>168</v>
      </c>
      <c r="R97" s="28">
        <f>39*14</f>
        <v>546</v>
      </c>
      <c r="S97" s="12">
        <f t="shared" si="7"/>
        <v>714</v>
      </c>
      <c r="T97" s="41"/>
      <c r="U97" s="12">
        <f t="shared" si="9"/>
        <v>336</v>
      </c>
      <c r="V97" s="12">
        <f t="shared" si="10"/>
        <v>1092</v>
      </c>
      <c r="W97" s="12">
        <f t="shared" si="8"/>
        <v>1428</v>
      </c>
    </row>
    <row r="98" spans="1:23" s="19" customFormat="1" ht="29.25">
      <c r="A98" s="239" t="s">
        <v>7</v>
      </c>
      <c r="B98" s="25" t="s">
        <v>836</v>
      </c>
      <c r="C98" s="51" t="s">
        <v>894</v>
      </c>
      <c r="D98" s="51"/>
      <c r="E98" s="56" t="s">
        <v>2221</v>
      </c>
      <c r="F98" s="51" t="s">
        <v>234</v>
      </c>
      <c r="G98" s="51" t="s">
        <v>838</v>
      </c>
      <c r="H98" s="302" t="s">
        <v>2222</v>
      </c>
      <c r="I98" s="51">
        <v>95956046</v>
      </c>
      <c r="J98" s="4" t="s">
        <v>12</v>
      </c>
      <c r="K98" s="314">
        <v>0.14</v>
      </c>
      <c r="L98" s="41"/>
      <c r="M98" s="28">
        <f>35*14</f>
        <v>490</v>
      </c>
      <c r="N98" s="28">
        <f>93*14</f>
        <v>1302</v>
      </c>
      <c r="O98" s="12">
        <f t="shared" si="11"/>
        <v>1792</v>
      </c>
      <c r="P98" s="41"/>
      <c r="Q98" s="28">
        <f>35*14</f>
        <v>490</v>
      </c>
      <c r="R98" s="28">
        <f>93*14</f>
        <v>1302</v>
      </c>
      <c r="S98" s="12">
        <f t="shared" si="7"/>
        <v>1792</v>
      </c>
      <c r="T98" s="41"/>
      <c r="U98" s="12">
        <f t="shared" si="9"/>
        <v>980</v>
      </c>
      <c r="V98" s="12">
        <f t="shared" si="10"/>
        <v>2604</v>
      </c>
      <c r="W98" s="12">
        <f t="shared" si="8"/>
        <v>3584</v>
      </c>
    </row>
    <row r="99" spans="1:23" s="19" customFormat="1" ht="29.25">
      <c r="A99" s="239" t="s">
        <v>7</v>
      </c>
      <c r="B99" s="21" t="s">
        <v>836</v>
      </c>
      <c r="C99" s="51" t="s">
        <v>905</v>
      </c>
      <c r="D99" s="51"/>
      <c r="E99" s="56" t="s">
        <v>2223</v>
      </c>
      <c r="F99" s="51" t="s">
        <v>234</v>
      </c>
      <c r="G99" s="51" t="s">
        <v>838</v>
      </c>
      <c r="H99" s="302" t="s">
        <v>2224</v>
      </c>
      <c r="I99" s="51">
        <v>95817641</v>
      </c>
      <c r="J99" s="4" t="s">
        <v>12</v>
      </c>
      <c r="K99" s="314">
        <v>0.5</v>
      </c>
      <c r="L99" s="41"/>
      <c r="M99" s="28">
        <f>10*14</f>
        <v>140</v>
      </c>
      <c r="N99" s="28">
        <f>63*14</f>
        <v>882</v>
      </c>
      <c r="O99" s="12">
        <f t="shared" si="11"/>
        <v>1022</v>
      </c>
      <c r="P99" s="41"/>
      <c r="Q99" s="28">
        <f>10*14</f>
        <v>140</v>
      </c>
      <c r="R99" s="28">
        <f>63*14</f>
        <v>882</v>
      </c>
      <c r="S99" s="12">
        <f t="shared" si="7"/>
        <v>1022</v>
      </c>
      <c r="T99" s="41"/>
      <c r="U99" s="12">
        <f t="shared" si="9"/>
        <v>280</v>
      </c>
      <c r="V99" s="12">
        <f t="shared" si="10"/>
        <v>1764</v>
      </c>
      <c r="W99" s="12">
        <f t="shared" si="8"/>
        <v>2044</v>
      </c>
    </row>
    <row r="100" spans="1:23" s="19" customFormat="1" ht="29.25">
      <c r="A100" s="239" t="s">
        <v>7</v>
      </c>
      <c r="B100" s="21" t="s">
        <v>836</v>
      </c>
      <c r="C100" s="124" t="s">
        <v>882</v>
      </c>
      <c r="D100" s="51" t="s">
        <v>2225</v>
      </c>
      <c r="E100" s="56" t="s">
        <v>2226</v>
      </c>
      <c r="F100" s="51" t="s">
        <v>234</v>
      </c>
      <c r="G100" s="51" t="s">
        <v>838</v>
      </c>
      <c r="H100" s="302" t="s">
        <v>2227</v>
      </c>
      <c r="I100" s="51">
        <v>95799857</v>
      </c>
      <c r="J100" s="4" t="s">
        <v>12</v>
      </c>
      <c r="K100" s="314">
        <v>0.45</v>
      </c>
      <c r="L100" s="41"/>
      <c r="M100" s="28">
        <f>23*14</f>
        <v>322</v>
      </c>
      <c r="N100" s="28">
        <f>109*14</f>
        <v>1526</v>
      </c>
      <c r="O100" s="12">
        <f t="shared" si="11"/>
        <v>1848</v>
      </c>
      <c r="P100" s="41"/>
      <c r="Q100" s="28">
        <f>23*14</f>
        <v>322</v>
      </c>
      <c r="R100" s="28">
        <f>109*14</f>
        <v>1526</v>
      </c>
      <c r="S100" s="12">
        <f t="shared" si="7"/>
        <v>1848</v>
      </c>
      <c r="T100" s="41"/>
      <c r="U100" s="12">
        <f t="shared" si="9"/>
        <v>644</v>
      </c>
      <c r="V100" s="12">
        <f t="shared" si="10"/>
        <v>3052</v>
      </c>
      <c r="W100" s="12">
        <f t="shared" si="8"/>
        <v>3696</v>
      </c>
    </row>
    <row r="101" spans="1:23" s="19" customFormat="1" ht="30" thickBot="1">
      <c r="A101" s="239" t="s">
        <v>7</v>
      </c>
      <c r="B101" s="21" t="s">
        <v>836</v>
      </c>
      <c r="C101" s="124" t="s">
        <v>1714</v>
      </c>
      <c r="D101" s="51"/>
      <c r="E101" s="56" t="s">
        <v>2228</v>
      </c>
      <c r="F101" s="51" t="s">
        <v>234</v>
      </c>
      <c r="G101" s="51" t="s">
        <v>838</v>
      </c>
      <c r="H101" s="302" t="s">
        <v>2229</v>
      </c>
      <c r="I101" s="51">
        <v>95799837</v>
      </c>
      <c r="J101" s="4" t="s">
        <v>12</v>
      </c>
      <c r="K101" s="314">
        <v>4</v>
      </c>
      <c r="L101" s="41"/>
      <c r="M101" s="28">
        <f>30*14</f>
        <v>420</v>
      </c>
      <c r="N101" s="28">
        <f>103*14</f>
        <v>1442</v>
      </c>
      <c r="O101" s="12">
        <f t="shared" si="11"/>
        <v>1862</v>
      </c>
      <c r="P101" s="41"/>
      <c r="Q101" s="28">
        <f>30*14</f>
        <v>420</v>
      </c>
      <c r="R101" s="28">
        <f>103*14</f>
        <v>1442</v>
      </c>
      <c r="S101" s="12">
        <f t="shared" si="7"/>
        <v>1862</v>
      </c>
      <c r="T101" s="41"/>
      <c r="U101" s="12">
        <f t="shared" si="9"/>
        <v>840</v>
      </c>
      <c r="V101" s="12">
        <f t="shared" si="10"/>
        <v>2884</v>
      </c>
      <c r="W101" s="12">
        <f t="shared" si="8"/>
        <v>3724</v>
      </c>
    </row>
    <row r="102" spans="2:23" ht="24.75" customHeight="1">
      <c r="B102" s="408" t="s">
        <v>150</v>
      </c>
      <c r="C102" s="249" t="s">
        <v>1365</v>
      </c>
      <c r="D102" s="62"/>
      <c r="F102" s="410" t="s">
        <v>2030</v>
      </c>
      <c r="G102" s="447" t="s">
        <v>1919</v>
      </c>
      <c r="H102" s="365"/>
      <c r="N102" s="49" t="s">
        <v>151</v>
      </c>
      <c r="O102" s="279">
        <f>SUM(O18:O101)</f>
        <v>190702.72</v>
      </c>
      <c r="Q102" s="2"/>
      <c r="R102" s="49" t="s">
        <v>151</v>
      </c>
      <c r="S102" s="279">
        <f>SUM(S18:S101)</f>
        <v>190702.72</v>
      </c>
      <c r="U102" s="2"/>
      <c r="V102" s="49" t="s">
        <v>151</v>
      </c>
      <c r="W102" s="279">
        <f>SUM(W18:W101)</f>
        <v>381405.44</v>
      </c>
    </row>
    <row r="103" spans="2:8" ht="15">
      <c r="B103" s="237"/>
      <c r="C103" s="72" t="s">
        <v>1366</v>
      </c>
      <c r="D103" s="65"/>
      <c r="F103" s="34"/>
      <c r="G103" s="448" t="s">
        <v>2003</v>
      </c>
      <c r="H103" s="358"/>
    </row>
    <row r="104" spans="2:15" ht="15.75" thickBot="1">
      <c r="B104" s="237"/>
      <c r="C104" s="260" t="s">
        <v>947</v>
      </c>
      <c r="D104" s="65"/>
      <c r="F104" s="37"/>
      <c r="G104" s="490" t="s">
        <v>947</v>
      </c>
      <c r="H104" s="359"/>
      <c r="I104" s="29"/>
      <c r="J104" s="82"/>
      <c r="K104" s="223"/>
      <c r="L104" s="29"/>
      <c r="M104" s="135"/>
      <c r="N104" s="135"/>
      <c r="O104" s="135"/>
    </row>
    <row r="105" spans="2:15" ht="15">
      <c r="B105" s="237" t="s">
        <v>1640</v>
      </c>
      <c r="C105" s="426" t="s">
        <v>1923</v>
      </c>
      <c r="D105" s="65"/>
      <c r="I105" s="29"/>
      <c r="J105" s="82"/>
      <c r="K105" s="223"/>
      <c r="N105" s="135"/>
      <c r="O105" s="135"/>
    </row>
    <row r="106" spans="2:15" ht="15.75" thickBot="1">
      <c r="B106" s="200" t="s">
        <v>1644</v>
      </c>
      <c r="C106" s="66" t="s">
        <v>1685</v>
      </c>
      <c r="D106" s="177"/>
      <c r="I106" s="29"/>
      <c r="J106" s="82"/>
      <c r="K106" s="223"/>
      <c r="L106" s="29"/>
      <c r="M106" s="135"/>
      <c r="N106" s="135"/>
      <c r="O106" s="135"/>
    </row>
    <row r="107" spans="1:15" ht="15">
      <c r="A107" s="355"/>
      <c r="B107" s="236"/>
      <c r="C107" s="63"/>
      <c r="D107" s="47"/>
      <c r="I107" s="29"/>
      <c r="J107" s="82"/>
      <c r="K107" s="223"/>
      <c r="L107" s="29"/>
      <c r="M107" s="135"/>
      <c r="N107" s="135"/>
      <c r="O107" s="135"/>
    </row>
    <row r="108" spans="1:15" ht="15">
      <c r="A108" s="355"/>
      <c r="B108" s="236"/>
      <c r="C108" s="63"/>
      <c r="D108" s="47"/>
      <c r="I108" s="29"/>
      <c r="J108" s="82"/>
      <c r="K108" s="223"/>
      <c r="L108" s="29"/>
      <c r="M108" s="135"/>
      <c r="N108" s="135"/>
      <c r="O108" s="135"/>
    </row>
    <row r="109" spans="1:15" ht="15">
      <c r="A109" s="355"/>
      <c r="B109" s="236"/>
      <c r="C109" s="63"/>
      <c r="D109" s="47"/>
      <c r="I109" s="29"/>
      <c r="J109" s="82"/>
      <c r="K109" s="223"/>
      <c r="L109" s="29"/>
      <c r="M109" s="135"/>
      <c r="N109" s="135"/>
      <c r="O109" s="135"/>
    </row>
    <row r="110" spans="1:15" ht="15">
      <c r="A110" s="355"/>
      <c r="B110" s="236"/>
      <c r="C110" s="63"/>
      <c r="D110" s="47"/>
      <c r="I110" s="29"/>
      <c r="J110" s="82"/>
      <c r="K110" s="223"/>
      <c r="L110" s="201" t="s">
        <v>155</v>
      </c>
      <c r="M110" s="135">
        <f>W102</f>
        <v>381405.44</v>
      </c>
      <c r="N110" s="135"/>
      <c r="O110" s="135"/>
    </row>
    <row r="111" spans="1:15" ht="15.75" thickBot="1">
      <c r="A111" s="355"/>
      <c r="B111" s="236"/>
      <c r="C111" s="63"/>
      <c r="D111" s="47"/>
      <c r="I111" s="29"/>
      <c r="J111" s="82"/>
      <c r="K111" s="223"/>
      <c r="L111" s="29"/>
      <c r="M111" s="135"/>
      <c r="N111" s="135"/>
      <c r="O111" s="135"/>
    </row>
    <row r="112" spans="9:15" ht="44.25" customHeight="1">
      <c r="I112" s="29"/>
      <c r="J112" s="82"/>
      <c r="K112" s="772" t="s">
        <v>152</v>
      </c>
      <c r="L112" s="774" t="s">
        <v>2257</v>
      </c>
      <c r="M112" s="775"/>
      <c r="N112" s="776"/>
      <c r="O112" s="768" t="s">
        <v>153</v>
      </c>
    </row>
    <row r="113" spans="9:15" ht="21.75" customHeight="1" thickBot="1">
      <c r="I113" s="29"/>
      <c r="J113" s="82"/>
      <c r="K113" s="773"/>
      <c r="L113" s="115" t="s">
        <v>154</v>
      </c>
      <c r="M113" s="115" t="s">
        <v>1017</v>
      </c>
      <c r="N113" s="115" t="s">
        <v>1018</v>
      </c>
      <c r="O113" s="769"/>
    </row>
    <row r="114" spans="9:15" ht="15" thickBot="1">
      <c r="I114" s="29"/>
      <c r="J114" s="82"/>
      <c r="K114" s="551" t="s">
        <v>12</v>
      </c>
      <c r="L114" s="53"/>
      <c r="M114" s="583">
        <f>SUM(U18:U101)</f>
        <v>73110.88</v>
      </c>
      <c r="N114" s="583">
        <f>SUM(V18:V101)</f>
        <v>308294.56</v>
      </c>
      <c r="O114" s="689">
        <f>78+6</f>
        <v>84</v>
      </c>
    </row>
    <row r="115" spans="9:15" ht="15" thickBot="1">
      <c r="I115" s="29"/>
      <c r="J115" s="82"/>
      <c r="K115" s="503" t="s">
        <v>155</v>
      </c>
      <c r="L115" s="280"/>
      <c r="M115" s="594">
        <f>SUM(M114:M114)</f>
        <v>73110.88</v>
      </c>
      <c r="N115" s="595">
        <f>SUM(N114:N114)</f>
        <v>308294.56</v>
      </c>
      <c r="O115" s="334">
        <f>SUM(O114:O114)</f>
        <v>84</v>
      </c>
    </row>
    <row r="116" spans="9:13" ht="18.75" thickBot="1">
      <c r="I116" s="29"/>
      <c r="J116" s="29"/>
      <c r="K116"/>
      <c r="L116" s="18" t="s">
        <v>156</v>
      </c>
      <c r="M116" s="273">
        <f>SUM(L115:N115)</f>
        <v>381405.44</v>
      </c>
    </row>
    <row r="117" spans="9:15" ht="14.25">
      <c r="I117" s="29"/>
      <c r="J117" s="29"/>
      <c r="K117" s="223"/>
      <c r="L117" s="29"/>
      <c r="M117" s="135"/>
      <c r="N117" s="135"/>
      <c r="O117" s="135"/>
    </row>
    <row r="118" spans="9:15" ht="14.25">
      <c r="I118" s="29"/>
      <c r="J118" s="29"/>
      <c r="K118" s="223"/>
      <c r="L118" s="29"/>
      <c r="M118" s="135"/>
      <c r="N118" s="135"/>
      <c r="O118" s="135"/>
    </row>
    <row r="119" ht="14.25">
      <c r="J119"/>
    </row>
    <row r="120" ht="14.25">
      <c r="J120"/>
    </row>
  </sheetData>
  <sheetProtection/>
  <mergeCells count="23">
    <mergeCell ref="P15:S15"/>
    <mergeCell ref="T15:W15"/>
    <mergeCell ref="P16:S16"/>
    <mergeCell ref="T16:W16"/>
    <mergeCell ref="B1:L1"/>
    <mergeCell ref="I15:I17"/>
    <mergeCell ref="B3:I3"/>
    <mergeCell ref="B5:I5"/>
    <mergeCell ref="A15:A17"/>
    <mergeCell ref="B15:B17"/>
    <mergeCell ref="C15:C17"/>
    <mergeCell ref="D15:D17"/>
    <mergeCell ref="F15:F17"/>
    <mergeCell ref="G15:G17"/>
    <mergeCell ref="O112:O113"/>
    <mergeCell ref="J15:J17"/>
    <mergeCell ref="K15:K17"/>
    <mergeCell ref="L15:O15"/>
    <mergeCell ref="E15:E17"/>
    <mergeCell ref="K112:K113"/>
    <mergeCell ref="L112:N112"/>
    <mergeCell ref="L16:O16"/>
    <mergeCell ref="H15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5"/>
  <sheetViews>
    <sheetView zoomScale="50" zoomScaleNormal="50" zoomScalePageLayoutView="0" workbookViewId="0" topLeftCell="A67">
      <selection activeCell="L86" sqref="L86:N86"/>
    </sheetView>
  </sheetViews>
  <sheetFormatPr defaultColWidth="8.796875" defaultRowHeight="14.25"/>
  <cols>
    <col min="1" max="1" width="13.09765625" style="0" customWidth="1"/>
    <col min="2" max="2" width="14" style="0" customWidth="1"/>
    <col min="3" max="3" width="13.19921875" style="0" customWidth="1"/>
    <col min="4" max="4" width="12.19921875" style="0" customWidth="1"/>
    <col min="6" max="6" width="12.3984375" style="0" customWidth="1"/>
    <col min="7" max="7" width="11.59765625" style="0" customWidth="1"/>
    <col min="8" max="8" width="28.59765625" style="0" customWidth="1"/>
    <col min="9" max="9" width="17.19921875" style="0" customWidth="1"/>
    <col min="10" max="10" width="12.8984375" style="0" customWidth="1"/>
    <col min="11" max="11" width="14.5" style="0" customWidth="1"/>
    <col min="12" max="12" width="13.8984375" style="0" customWidth="1"/>
    <col min="13" max="13" width="14.3984375" style="0" customWidth="1"/>
    <col min="14" max="14" width="19.09765625" style="0" customWidth="1"/>
    <col min="15" max="15" width="16.3984375" style="0" customWidth="1"/>
    <col min="16" max="16" width="22.5" style="0" customWidth="1"/>
    <col min="17" max="17" width="14.5" style="0" customWidth="1"/>
    <col min="18" max="19" width="14" style="0" customWidth="1"/>
    <col min="20" max="21" width="22.19921875" style="0" customWidth="1"/>
    <col min="22" max="22" width="16.19921875" style="0" customWidth="1"/>
    <col min="23" max="23" width="15.5" style="0" customWidth="1"/>
  </cols>
  <sheetData>
    <row r="1" spans="2:12" ht="27" customHeight="1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4"/>
      <c r="I2" s="182"/>
      <c r="J2" s="182"/>
      <c r="K2" s="182"/>
    </row>
    <row r="3" spans="2:11" ht="27" customHeight="1">
      <c r="B3" s="782" t="s">
        <v>1025</v>
      </c>
      <c r="C3" s="783"/>
      <c r="D3" s="783"/>
      <c r="E3" s="783"/>
      <c r="F3" s="783"/>
      <c r="G3" s="783"/>
      <c r="H3" s="783"/>
      <c r="I3" s="784"/>
      <c r="J3" s="182"/>
      <c r="K3" s="182"/>
    </row>
    <row r="4" spans="2:11" ht="15">
      <c r="B4" s="183"/>
      <c r="C4" s="183"/>
      <c r="D4" s="183"/>
      <c r="E4" s="183"/>
      <c r="F4" s="183"/>
      <c r="G4" s="183"/>
      <c r="H4" s="184"/>
      <c r="I4" s="182"/>
      <c r="J4" s="182"/>
      <c r="K4" s="182"/>
    </row>
    <row r="5" spans="2:11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  <c r="K5" s="182"/>
    </row>
    <row r="6" spans="2:11" ht="15">
      <c r="B6" s="183"/>
      <c r="C6" s="183"/>
      <c r="D6" s="183"/>
      <c r="E6" s="183"/>
      <c r="F6" s="183"/>
      <c r="G6" s="183"/>
      <c r="H6" s="184"/>
      <c r="I6" s="182"/>
      <c r="J6" s="182"/>
      <c r="K6" s="182"/>
    </row>
    <row r="7" spans="2:11" ht="15.75">
      <c r="B7" s="383" t="s">
        <v>950</v>
      </c>
      <c r="C7" s="182"/>
      <c r="D7" s="183"/>
      <c r="E7" s="183"/>
      <c r="F7" s="183"/>
      <c r="G7" s="182"/>
      <c r="H7" s="184"/>
      <c r="I7" s="182"/>
      <c r="J7" s="182"/>
      <c r="K7" s="182"/>
    </row>
    <row r="8" spans="2:11" ht="15.75">
      <c r="B8" s="383" t="s">
        <v>2031</v>
      </c>
      <c r="C8" s="182"/>
      <c r="D8" s="183"/>
      <c r="E8" s="183"/>
      <c r="F8" s="183"/>
      <c r="G8" s="182"/>
      <c r="H8" s="184"/>
      <c r="I8" s="182"/>
      <c r="J8" s="182"/>
      <c r="K8" s="182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15.75"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  <c r="K10" s="182"/>
    </row>
    <row r="11" spans="2:11" ht="15"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  <c r="K11" s="182"/>
    </row>
    <row r="12" spans="2:11" ht="15.75">
      <c r="B12" s="188"/>
      <c r="C12" s="189"/>
      <c r="D12" s="187"/>
      <c r="E12" s="187"/>
      <c r="F12" s="187"/>
      <c r="G12" s="187"/>
      <c r="H12" s="182"/>
      <c r="I12" s="182"/>
      <c r="J12" s="182"/>
      <c r="K12" s="182"/>
    </row>
    <row r="13" spans="2:11" ht="15.75">
      <c r="B13" s="188" t="s">
        <v>1015</v>
      </c>
      <c r="C13" s="185" t="s">
        <v>1016</v>
      </c>
      <c r="D13" s="187"/>
      <c r="E13" s="187"/>
      <c r="F13" s="187"/>
      <c r="G13" s="187"/>
      <c r="H13" s="182"/>
      <c r="I13" s="182"/>
      <c r="J13" s="182"/>
      <c r="K13" s="182"/>
    </row>
    <row r="14" spans="2:10" ht="21" thickBot="1">
      <c r="B14" s="114"/>
      <c r="C14" s="105"/>
      <c r="D14" s="29"/>
      <c r="E14" s="29"/>
      <c r="F14" s="29"/>
      <c r="G14" s="29"/>
      <c r="H14" s="558"/>
      <c r="I14" s="558"/>
      <c r="J14" s="558"/>
    </row>
    <row r="15" spans="1:23" ht="51.7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9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0.7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3" t="s">
        <v>7</v>
      </c>
      <c r="B18" s="124" t="s">
        <v>8</v>
      </c>
      <c r="C18" s="125" t="s">
        <v>953</v>
      </c>
      <c r="D18" s="48"/>
      <c r="E18" s="126"/>
      <c r="F18" s="126" t="s">
        <v>952</v>
      </c>
      <c r="G18" s="126" t="s">
        <v>951</v>
      </c>
      <c r="H18" s="324" t="s">
        <v>1308</v>
      </c>
      <c r="I18" s="124">
        <v>83904345</v>
      </c>
      <c r="J18" s="555" t="s">
        <v>12</v>
      </c>
      <c r="K18" s="127">
        <v>0.5</v>
      </c>
      <c r="L18" s="606"/>
      <c r="M18" s="607">
        <f>427-246</f>
        <v>181</v>
      </c>
      <c r="N18" s="607">
        <f>1821-1065</f>
        <v>756</v>
      </c>
      <c r="O18" s="607">
        <f>M18+N18</f>
        <v>937</v>
      </c>
      <c r="P18" s="606"/>
      <c r="Q18" s="607">
        <f>427-246</f>
        <v>181</v>
      </c>
      <c r="R18" s="607">
        <f>1821-1065</f>
        <v>756</v>
      </c>
      <c r="S18" s="607">
        <f>Q18+R18</f>
        <v>937</v>
      </c>
      <c r="T18" s="606"/>
      <c r="U18" s="607">
        <f>M18+Q18</f>
        <v>362</v>
      </c>
      <c r="V18" s="607">
        <f>N18+R18</f>
        <v>1512</v>
      </c>
      <c r="W18" s="607">
        <f>U18+V18</f>
        <v>1874</v>
      </c>
    </row>
    <row r="19" spans="1:23" ht="29.25">
      <c r="A19" s="233" t="s">
        <v>7</v>
      </c>
      <c r="B19" s="56" t="s">
        <v>8</v>
      </c>
      <c r="C19" s="123" t="s">
        <v>953</v>
      </c>
      <c r="D19" s="51"/>
      <c r="E19" s="107"/>
      <c r="F19" s="107" t="s">
        <v>952</v>
      </c>
      <c r="G19" s="107" t="s">
        <v>951</v>
      </c>
      <c r="H19" s="325" t="s">
        <v>1309</v>
      </c>
      <c r="I19" s="56">
        <v>103006</v>
      </c>
      <c r="J19" s="556" t="s">
        <v>12</v>
      </c>
      <c r="K19" s="108">
        <v>0.7</v>
      </c>
      <c r="L19" s="27"/>
      <c r="M19" s="109">
        <f>3825-3644</f>
        <v>181</v>
      </c>
      <c r="N19" s="109">
        <f>17288-16456</f>
        <v>832</v>
      </c>
      <c r="O19" s="607">
        <f aca="true" t="shared" si="0" ref="O19:O73">M19+N19</f>
        <v>1013</v>
      </c>
      <c r="P19" s="27"/>
      <c r="Q19" s="109">
        <f>3825-3644</f>
        <v>181</v>
      </c>
      <c r="R19" s="109">
        <f>17288-16456</f>
        <v>832</v>
      </c>
      <c r="S19" s="607">
        <f aca="true" t="shared" si="1" ref="S19:S73">Q19+R19</f>
        <v>1013</v>
      </c>
      <c r="T19" s="27"/>
      <c r="U19" s="607">
        <f aca="true" t="shared" si="2" ref="U19:U73">M19+Q19</f>
        <v>362</v>
      </c>
      <c r="V19" s="607">
        <f aca="true" t="shared" si="3" ref="V19:V73">N19+R19</f>
        <v>1664</v>
      </c>
      <c r="W19" s="607">
        <f aca="true" t="shared" si="4" ref="W19:W73">U19+V19</f>
        <v>2026</v>
      </c>
    </row>
    <row r="20" spans="1:23" ht="29.25">
      <c r="A20" s="233" t="s">
        <v>7</v>
      </c>
      <c r="B20" s="56" t="s">
        <v>8</v>
      </c>
      <c r="C20" s="123" t="s">
        <v>954</v>
      </c>
      <c r="D20" s="51"/>
      <c r="E20" s="107"/>
      <c r="F20" s="107" t="s">
        <v>952</v>
      </c>
      <c r="G20" s="107" t="s">
        <v>951</v>
      </c>
      <c r="H20" s="324" t="s">
        <v>1310</v>
      </c>
      <c r="I20" s="56">
        <v>108448</v>
      </c>
      <c r="J20" s="556" t="s">
        <v>12</v>
      </c>
      <c r="K20" s="108">
        <v>0.7</v>
      </c>
      <c r="L20" s="27"/>
      <c r="M20" s="109">
        <f>4592-4347</f>
        <v>245</v>
      </c>
      <c r="N20" s="109">
        <f>18233-17191</f>
        <v>1042</v>
      </c>
      <c r="O20" s="607">
        <f t="shared" si="0"/>
        <v>1287</v>
      </c>
      <c r="P20" s="27"/>
      <c r="Q20" s="109">
        <f>4592-4347</f>
        <v>245</v>
      </c>
      <c r="R20" s="109">
        <f>18233-17191</f>
        <v>1042</v>
      </c>
      <c r="S20" s="607">
        <f t="shared" si="1"/>
        <v>1287</v>
      </c>
      <c r="T20" s="27"/>
      <c r="U20" s="607">
        <f t="shared" si="2"/>
        <v>490</v>
      </c>
      <c r="V20" s="607">
        <f t="shared" si="3"/>
        <v>2084</v>
      </c>
      <c r="W20" s="607">
        <f t="shared" si="4"/>
        <v>2574</v>
      </c>
    </row>
    <row r="21" spans="1:23" ht="29.25">
      <c r="A21" s="233" t="s">
        <v>7</v>
      </c>
      <c r="B21" s="56" t="s">
        <v>8</v>
      </c>
      <c r="C21" s="123" t="s">
        <v>954</v>
      </c>
      <c r="D21" s="51"/>
      <c r="E21" s="107"/>
      <c r="F21" s="107" t="s">
        <v>952</v>
      </c>
      <c r="G21" s="107" t="s">
        <v>951</v>
      </c>
      <c r="H21" s="325" t="s">
        <v>1311</v>
      </c>
      <c r="I21" s="56">
        <v>92953241</v>
      </c>
      <c r="J21" s="556" t="s">
        <v>12</v>
      </c>
      <c r="K21" s="108">
        <v>0.7</v>
      </c>
      <c r="L21" s="27"/>
      <c r="M21" s="109">
        <f>315-113</f>
        <v>202</v>
      </c>
      <c r="N21" s="109">
        <f>1344-391</f>
        <v>953</v>
      </c>
      <c r="O21" s="607">
        <f t="shared" si="0"/>
        <v>1155</v>
      </c>
      <c r="P21" s="27"/>
      <c r="Q21" s="109">
        <f>315-113</f>
        <v>202</v>
      </c>
      <c r="R21" s="109">
        <f>1344-391</f>
        <v>953</v>
      </c>
      <c r="S21" s="607">
        <f t="shared" si="1"/>
        <v>1155</v>
      </c>
      <c r="T21" s="27"/>
      <c r="U21" s="607">
        <f t="shared" si="2"/>
        <v>404</v>
      </c>
      <c r="V21" s="607">
        <f t="shared" si="3"/>
        <v>1906</v>
      </c>
      <c r="W21" s="607">
        <f t="shared" si="4"/>
        <v>2310</v>
      </c>
    </row>
    <row r="22" spans="1:23" ht="29.25">
      <c r="A22" s="233" t="s">
        <v>7</v>
      </c>
      <c r="B22" s="56" t="s">
        <v>8</v>
      </c>
      <c r="C22" s="123" t="s">
        <v>955</v>
      </c>
      <c r="D22" s="51"/>
      <c r="E22" s="107"/>
      <c r="F22" s="107" t="s">
        <v>952</v>
      </c>
      <c r="G22" s="107" t="s">
        <v>951</v>
      </c>
      <c r="H22" s="324" t="s">
        <v>1312</v>
      </c>
      <c r="I22" s="56">
        <v>102566</v>
      </c>
      <c r="J22" s="556" t="s">
        <v>12</v>
      </c>
      <c r="K22" s="108">
        <v>1.3</v>
      </c>
      <c r="L22" s="27"/>
      <c r="M22" s="109">
        <f>11770-10436</f>
        <v>1334</v>
      </c>
      <c r="N22" s="109">
        <f>49622-44035</f>
        <v>5587</v>
      </c>
      <c r="O22" s="607">
        <f t="shared" si="0"/>
        <v>6921</v>
      </c>
      <c r="P22" s="27"/>
      <c r="Q22" s="109">
        <f>11770-10436</f>
        <v>1334</v>
      </c>
      <c r="R22" s="109">
        <f>49622-44035</f>
        <v>5587</v>
      </c>
      <c r="S22" s="607">
        <f t="shared" si="1"/>
        <v>6921</v>
      </c>
      <c r="T22" s="27"/>
      <c r="U22" s="607">
        <f t="shared" si="2"/>
        <v>2668</v>
      </c>
      <c r="V22" s="607">
        <f t="shared" si="3"/>
        <v>11174</v>
      </c>
      <c r="W22" s="607">
        <f t="shared" si="4"/>
        <v>13842</v>
      </c>
    </row>
    <row r="23" spans="1:23" ht="29.25">
      <c r="A23" s="233" t="s">
        <v>7</v>
      </c>
      <c r="B23" s="56" t="s">
        <v>8</v>
      </c>
      <c r="C23" s="123" t="s">
        <v>955</v>
      </c>
      <c r="D23" s="51"/>
      <c r="E23" s="107"/>
      <c r="F23" s="107" t="s">
        <v>952</v>
      </c>
      <c r="G23" s="107" t="s">
        <v>951</v>
      </c>
      <c r="H23" s="325" t="s">
        <v>1313</v>
      </c>
      <c r="I23" s="56">
        <v>83558206</v>
      </c>
      <c r="J23" s="556" t="s">
        <v>12</v>
      </c>
      <c r="K23" s="108">
        <v>1.8</v>
      </c>
      <c r="L23" s="27"/>
      <c r="M23" s="109">
        <f>3611-2021</f>
        <v>1590</v>
      </c>
      <c r="N23" s="109">
        <f>14387-8105</f>
        <v>6282</v>
      </c>
      <c r="O23" s="607">
        <f t="shared" si="0"/>
        <v>7872</v>
      </c>
      <c r="P23" s="27"/>
      <c r="Q23" s="109">
        <f>3611-2021</f>
        <v>1590</v>
      </c>
      <c r="R23" s="109">
        <f>14387-8105</f>
        <v>6282</v>
      </c>
      <c r="S23" s="607">
        <f t="shared" si="1"/>
        <v>7872</v>
      </c>
      <c r="T23" s="27"/>
      <c r="U23" s="607">
        <f t="shared" si="2"/>
        <v>3180</v>
      </c>
      <c r="V23" s="607">
        <f t="shared" si="3"/>
        <v>12564</v>
      </c>
      <c r="W23" s="607">
        <f t="shared" si="4"/>
        <v>15744</v>
      </c>
    </row>
    <row r="24" spans="1:23" ht="29.25">
      <c r="A24" s="233" t="s">
        <v>7</v>
      </c>
      <c r="B24" s="56" t="s">
        <v>8</v>
      </c>
      <c r="C24" s="123" t="s">
        <v>956</v>
      </c>
      <c r="D24" s="51"/>
      <c r="E24" s="107"/>
      <c r="F24" s="107" t="s">
        <v>952</v>
      </c>
      <c r="G24" s="107" t="s">
        <v>951</v>
      </c>
      <c r="H24" s="324" t="s">
        <v>1314</v>
      </c>
      <c r="I24" s="56">
        <v>83558074</v>
      </c>
      <c r="J24" s="556" t="s">
        <v>12</v>
      </c>
      <c r="K24" s="108">
        <v>1.3</v>
      </c>
      <c r="L24" s="27"/>
      <c r="M24" s="109">
        <f>1748-1308</f>
        <v>440</v>
      </c>
      <c r="N24" s="109">
        <f>7089-5635</f>
        <v>1454</v>
      </c>
      <c r="O24" s="607">
        <f t="shared" si="0"/>
        <v>1894</v>
      </c>
      <c r="P24" s="27"/>
      <c r="Q24" s="109">
        <f>1748-1308</f>
        <v>440</v>
      </c>
      <c r="R24" s="109">
        <f>7089-5635</f>
        <v>1454</v>
      </c>
      <c r="S24" s="607">
        <f t="shared" si="1"/>
        <v>1894</v>
      </c>
      <c r="T24" s="27"/>
      <c r="U24" s="607">
        <f t="shared" si="2"/>
        <v>880</v>
      </c>
      <c r="V24" s="607">
        <f t="shared" si="3"/>
        <v>2908</v>
      </c>
      <c r="W24" s="607">
        <f t="shared" si="4"/>
        <v>3788</v>
      </c>
    </row>
    <row r="25" spans="1:23" ht="29.25">
      <c r="A25" s="233" t="s">
        <v>7</v>
      </c>
      <c r="B25" s="56" t="s">
        <v>8</v>
      </c>
      <c r="C25" s="123" t="s">
        <v>957</v>
      </c>
      <c r="D25" s="51"/>
      <c r="E25" s="107"/>
      <c r="F25" s="107" t="s">
        <v>952</v>
      </c>
      <c r="G25" s="107" t="s">
        <v>951</v>
      </c>
      <c r="H25" s="325" t="s">
        <v>1346</v>
      </c>
      <c r="I25" s="56">
        <v>92952747</v>
      </c>
      <c r="J25" s="556" t="s">
        <v>12</v>
      </c>
      <c r="K25" s="108">
        <v>1.4</v>
      </c>
      <c r="L25" s="27"/>
      <c r="M25" s="109">
        <f>1388-308</f>
        <v>1080</v>
      </c>
      <c r="N25" s="109">
        <f>5787-1075</f>
        <v>4712</v>
      </c>
      <c r="O25" s="607">
        <f t="shared" si="0"/>
        <v>5792</v>
      </c>
      <c r="P25" s="27"/>
      <c r="Q25" s="109">
        <f>1388-308</f>
        <v>1080</v>
      </c>
      <c r="R25" s="109">
        <f>5787-1075</f>
        <v>4712</v>
      </c>
      <c r="S25" s="607">
        <f t="shared" si="1"/>
        <v>5792</v>
      </c>
      <c r="T25" s="27"/>
      <c r="U25" s="607">
        <f t="shared" si="2"/>
        <v>2160</v>
      </c>
      <c r="V25" s="607">
        <f t="shared" si="3"/>
        <v>9424</v>
      </c>
      <c r="W25" s="607">
        <f t="shared" si="4"/>
        <v>11584</v>
      </c>
    </row>
    <row r="26" spans="1:23" ht="29.25">
      <c r="A26" s="233" t="s">
        <v>7</v>
      </c>
      <c r="B26" s="56" t="s">
        <v>8</v>
      </c>
      <c r="C26" s="123" t="s">
        <v>957</v>
      </c>
      <c r="D26" s="51"/>
      <c r="E26" s="107" t="s">
        <v>863</v>
      </c>
      <c r="F26" s="107" t="s">
        <v>952</v>
      </c>
      <c r="G26" s="107" t="s">
        <v>951</v>
      </c>
      <c r="H26" s="324" t="s">
        <v>1347</v>
      </c>
      <c r="I26" s="56">
        <v>92434103</v>
      </c>
      <c r="J26" s="556" t="s">
        <v>12</v>
      </c>
      <c r="K26" s="108">
        <v>1.3</v>
      </c>
      <c r="L26" s="27"/>
      <c r="M26" s="109">
        <f>1272-311</f>
        <v>961</v>
      </c>
      <c r="N26" s="109">
        <f>5253-1066</f>
        <v>4187</v>
      </c>
      <c r="O26" s="607">
        <f t="shared" si="0"/>
        <v>5148</v>
      </c>
      <c r="P26" s="27"/>
      <c r="Q26" s="109">
        <f>1272-311</f>
        <v>961</v>
      </c>
      <c r="R26" s="109">
        <f>5253-1066</f>
        <v>4187</v>
      </c>
      <c r="S26" s="607">
        <f t="shared" si="1"/>
        <v>5148</v>
      </c>
      <c r="T26" s="27"/>
      <c r="U26" s="607">
        <f t="shared" si="2"/>
        <v>1922</v>
      </c>
      <c r="V26" s="607">
        <f t="shared" si="3"/>
        <v>8374</v>
      </c>
      <c r="W26" s="607">
        <f t="shared" si="4"/>
        <v>10296</v>
      </c>
    </row>
    <row r="27" spans="1:23" ht="29.25">
      <c r="A27" s="233" t="s">
        <v>7</v>
      </c>
      <c r="B27" s="56" t="s">
        <v>8</v>
      </c>
      <c r="C27" s="123" t="s">
        <v>957</v>
      </c>
      <c r="D27" s="51"/>
      <c r="E27" s="107"/>
      <c r="F27" s="107" t="s">
        <v>952</v>
      </c>
      <c r="G27" s="107" t="s">
        <v>951</v>
      </c>
      <c r="H27" s="325" t="s">
        <v>1348</v>
      </c>
      <c r="I27" s="56">
        <v>92952742</v>
      </c>
      <c r="J27" s="556" t="s">
        <v>12</v>
      </c>
      <c r="K27" s="108">
        <v>1</v>
      </c>
      <c r="L27" s="27"/>
      <c r="M27" s="109">
        <f>1144-215</f>
        <v>929</v>
      </c>
      <c r="N27" s="109">
        <f>5522-799</f>
        <v>4723</v>
      </c>
      <c r="O27" s="607">
        <f t="shared" si="0"/>
        <v>5652</v>
      </c>
      <c r="P27" s="27"/>
      <c r="Q27" s="109">
        <f>1144-215</f>
        <v>929</v>
      </c>
      <c r="R27" s="109">
        <f>5522-799</f>
        <v>4723</v>
      </c>
      <c r="S27" s="607">
        <f t="shared" si="1"/>
        <v>5652</v>
      </c>
      <c r="T27" s="27"/>
      <c r="U27" s="607">
        <f t="shared" si="2"/>
        <v>1858</v>
      </c>
      <c r="V27" s="607">
        <f t="shared" si="3"/>
        <v>9446</v>
      </c>
      <c r="W27" s="607">
        <f t="shared" si="4"/>
        <v>11304</v>
      </c>
    </row>
    <row r="28" spans="1:23" ht="29.25">
      <c r="A28" s="233" t="s">
        <v>7</v>
      </c>
      <c r="B28" s="56" t="s">
        <v>8</v>
      </c>
      <c r="C28" s="123" t="s">
        <v>958</v>
      </c>
      <c r="D28" s="51"/>
      <c r="E28" s="107"/>
      <c r="F28" s="107" t="s">
        <v>952</v>
      </c>
      <c r="G28" s="107" t="s">
        <v>951</v>
      </c>
      <c r="H28" s="324" t="s">
        <v>1349</v>
      </c>
      <c r="I28" s="56">
        <v>92434105</v>
      </c>
      <c r="J28" s="556" t="s">
        <v>12</v>
      </c>
      <c r="K28" s="108">
        <v>0.3</v>
      </c>
      <c r="L28" s="27"/>
      <c r="M28" s="109">
        <f>120-33</f>
        <v>87</v>
      </c>
      <c r="N28" s="109">
        <f>545-91</f>
        <v>454</v>
      </c>
      <c r="O28" s="607">
        <f t="shared" si="0"/>
        <v>541</v>
      </c>
      <c r="P28" s="27"/>
      <c r="Q28" s="109">
        <f>120-33</f>
        <v>87</v>
      </c>
      <c r="R28" s="109">
        <f>545-91</f>
        <v>454</v>
      </c>
      <c r="S28" s="607">
        <f t="shared" si="1"/>
        <v>541</v>
      </c>
      <c r="T28" s="27"/>
      <c r="U28" s="607">
        <f t="shared" si="2"/>
        <v>174</v>
      </c>
      <c r="V28" s="607">
        <f t="shared" si="3"/>
        <v>908</v>
      </c>
      <c r="W28" s="607">
        <f t="shared" si="4"/>
        <v>1082</v>
      </c>
    </row>
    <row r="29" spans="1:23" ht="29.25">
      <c r="A29" s="233" t="s">
        <v>7</v>
      </c>
      <c r="B29" s="56" t="s">
        <v>8</v>
      </c>
      <c r="C29" s="123" t="s">
        <v>959</v>
      </c>
      <c r="D29" s="51"/>
      <c r="E29" s="107"/>
      <c r="F29" s="107" t="s">
        <v>952</v>
      </c>
      <c r="G29" s="107" t="s">
        <v>951</v>
      </c>
      <c r="H29" s="325" t="s">
        <v>1350</v>
      </c>
      <c r="I29" s="56">
        <v>92953155</v>
      </c>
      <c r="J29" s="556" t="s">
        <v>12</v>
      </c>
      <c r="K29" s="108">
        <v>0.4</v>
      </c>
      <c r="L29" s="27"/>
      <c r="M29" s="109">
        <f>475-101</f>
        <v>374</v>
      </c>
      <c r="N29" s="109">
        <f>1968-318</f>
        <v>1650</v>
      </c>
      <c r="O29" s="607">
        <f t="shared" si="0"/>
        <v>2024</v>
      </c>
      <c r="P29" s="27"/>
      <c r="Q29" s="109">
        <f>475-101</f>
        <v>374</v>
      </c>
      <c r="R29" s="109">
        <f>1968-318</f>
        <v>1650</v>
      </c>
      <c r="S29" s="607">
        <f t="shared" si="1"/>
        <v>2024</v>
      </c>
      <c r="T29" s="27"/>
      <c r="U29" s="607">
        <f t="shared" si="2"/>
        <v>748</v>
      </c>
      <c r="V29" s="607">
        <f t="shared" si="3"/>
        <v>3300</v>
      </c>
      <c r="W29" s="607">
        <f t="shared" si="4"/>
        <v>4048</v>
      </c>
    </row>
    <row r="30" spans="1:23" ht="29.25">
      <c r="A30" s="233" t="s">
        <v>7</v>
      </c>
      <c r="B30" s="56" t="s">
        <v>8</v>
      </c>
      <c r="C30" s="123" t="s">
        <v>370</v>
      </c>
      <c r="D30" s="51"/>
      <c r="E30" s="107"/>
      <c r="F30" s="107" t="s">
        <v>952</v>
      </c>
      <c r="G30" s="107" t="s">
        <v>951</v>
      </c>
      <c r="H30" s="324" t="s">
        <v>1351</v>
      </c>
      <c r="I30" s="56">
        <v>83558231</v>
      </c>
      <c r="J30" s="556" t="s">
        <v>12</v>
      </c>
      <c r="K30" s="108">
        <v>0.5</v>
      </c>
      <c r="L30" s="27"/>
      <c r="M30" s="109">
        <f>586-444</f>
        <v>142</v>
      </c>
      <c r="N30" s="109">
        <f>2588-1940</f>
        <v>648</v>
      </c>
      <c r="O30" s="607">
        <f t="shared" si="0"/>
        <v>790</v>
      </c>
      <c r="P30" s="27"/>
      <c r="Q30" s="109">
        <f>586-444</f>
        <v>142</v>
      </c>
      <c r="R30" s="109">
        <f>2588-1940</f>
        <v>648</v>
      </c>
      <c r="S30" s="607">
        <f t="shared" si="1"/>
        <v>790</v>
      </c>
      <c r="T30" s="27"/>
      <c r="U30" s="607">
        <f t="shared" si="2"/>
        <v>284</v>
      </c>
      <c r="V30" s="607">
        <f t="shared" si="3"/>
        <v>1296</v>
      </c>
      <c r="W30" s="607">
        <f t="shared" si="4"/>
        <v>1580</v>
      </c>
    </row>
    <row r="31" spans="1:23" ht="29.25">
      <c r="A31" s="233" t="s">
        <v>7</v>
      </c>
      <c r="B31" s="56" t="s">
        <v>8</v>
      </c>
      <c r="C31" s="123" t="s">
        <v>960</v>
      </c>
      <c r="D31" s="51"/>
      <c r="E31" s="107"/>
      <c r="F31" s="107" t="s">
        <v>952</v>
      </c>
      <c r="G31" s="107" t="s">
        <v>951</v>
      </c>
      <c r="H31" s="325" t="s">
        <v>1352</v>
      </c>
      <c r="I31" s="56">
        <v>92952736</v>
      </c>
      <c r="J31" s="556" t="s">
        <v>12</v>
      </c>
      <c r="K31" s="108">
        <v>0.4</v>
      </c>
      <c r="L31" s="27"/>
      <c r="M31" s="109">
        <f>980-455</f>
        <v>525</v>
      </c>
      <c r="N31" s="109">
        <f>3548-1455</f>
        <v>2093</v>
      </c>
      <c r="O31" s="607">
        <f t="shared" si="0"/>
        <v>2618</v>
      </c>
      <c r="P31" s="27"/>
      <c r="Q31" s="109">
        <f>980-455</f>
        <v>525</v>
      </c>
      <c r="R31" s="109">
        <f>3548-1455</f>
        <v>2093</v>
      </c>
      <c r="S31" s="607">
        <f t="shared" si="1"/>
        <v>2618</v>
      </c>
      <c r="T31" s="27"/>
      <c r="U31" s="607">
        <f t="shared" si="2"/>
        <v>1050</v>
      </c>
      <c r="V31" s="607">
        <f t="shared" si="3"/>
        <v>4186</v>
      </c>
      <c r="W31" s="607">
        <f t="shared" si="4"/>
        <v>5236</v>
      </c>
    </row>
    <row r="32" spans="1:23" ht="29.25">
      <c r="A32" s="233" t="s">
        <v>7</v>
      </c>
      <c r="B32" s="56" t="s">
        <v>8</v>
      </c>
      <c r="C32" s="123" t="s">
        <v>959</v>
      </c>
      <c r="D32" s="51"/>
      <c r="E32" s="107"/>
      <c r="F32" s="107" t="s">
        <v>952</v>
      </c>
      <c r="G32" s="107" t="s">
        <v>951</v>
      </c>
      <c r="H32" s="324" t="s">
        <v>1353</v>
      </c>
      <c r="I32" s="56">
        <v>83558111</v>
      </c>
      <c r="J32" s="556" t="s">
        <v>12</v>
      </c>
      <c r="K32" s="108">
        <v>0.2</v>
      </c>
      <c r="L32" s="27"/>
      <c r="M32" s="109">
        <f>402-211</f>
        <v>191</v>
      </c>
      <c r="N32" s="109">
        <f>1818-905</f>
        <v>913</v>
      </c>
      <c r="O32" s="607">
        <f t="shared" si="0"/>
        <v>1104</v>
      </c>
      <c r="P32" s="27"/>
      <c r="Q32" s="109">
        <f>402-211</f>
        <v>191</v>
      </c>
      <c r="R32" s="109">
        <f>1818-905</f>
        <v>913</v>
      </c>
      <c r="S32" s="607">
        <f t="shared" si="1"/>
        <v>1104</v>
      </c>
      <c r="T32" s="27"/>
      <c r="U32" s="607">
        <f t="shared" si="2"/>
        <v>382</v>
      </c>
      <c r="V32" s="607">
        <f t="shared" si="3"/>
        <v>1826</v>
      </c>
      <c r="W32" s="607">
        <f t="shared" si="4"/>
        <v>2208</v>
      </c>
    </row>
    <row r="33" spans="1:23" ht="29.25">
      <c r="A33" s="233" t="s">
        <v>7</v>
      </c>
      <c r="B33" s="56" t="s">
        <v>8</v>
      </c>
      <c r="C33" s="123" t="s">
        <v>961</v>
      </c>
      <c r="D33" s="51"/>
      <c r="E33" s="107"/>
      <c r="F33" s="107" t="s">
        <v>952</v>
      </c>
      <c r="G33" s="107" t="s">
        <v>951</v>
      </c>
      <c r="H33" s="325" t="s">
        <v>1354</v>
      </c>
      <c r="I33" s="56">
        <v>92952704</v>
      </c>
      <c r="J33" s="556" t="s">
        <v>12</v>
      </c>
      <c r="K33" s="108">
        <v>1</v>
      </c>
      <c r="L33" s="27"/>
      <c r="M33" s="109">
        <f>780-307</f>
        <v>473</v>
      </c>
      <c r="N33" s="109">
        <f>3296-1185</f>
        <v>2111</v>
      </c>
      <c r="O33" s="607">
        <f t="shared" si="0"/>
        <v>2584</v>
      </c>
      <c r="P33" s="27"/>
      <c r="Q33" s="109">
        <f>780-307</f>
        <v>473</v>
      </c>
      <c r="R33" s="109">
        <f>3296-1185</f>
        <v>2111</v>
      </c>
      <c r="S33" s="607">
        <f t="shared" si="1"/>
        <v>2584</v>
      </c>
      <c r="T33" s="27"/>
      <c r="U33" s="607">
        <f t="shared" si="2"/>
        <v>946</v>
      </c>
      <c r="V33" s="607">
        <f t="shared" si="3"/>
        <v>4222</v>
      </c>
      <c r="W33" s="607">
        <f t="shared" si="4"/>
        <v>5168</v>
      </c>
    </row>
    <row r="34" spans="1:23" ht="29.25">
      <c r="A34" s="233" t="s">
        <v>7</v>
      </c>
      <c r="B34" s="56" t="s">
        <v>8</v>
      </c>
      <c r="C34" s="123" t="s">
        <v>962</v>
      </c>
      <c r="D34" s="51"/>
      <c r="E34" s="107"/>
      <c r="F34" s="107" t="s">
        <v>952</v>
      </c>
      <c r="G34" s="107" t="s">
        <v>951</v>
      </c>
      <c r="H34" s="324" t="s">
        <v>1355</v>
      </c>
      <c r="I34" s="56">
        <v>92953179</v>
      </c>
      <c r="J34" s="556" t="s">
        <v>12</v>
      </c>
      <c r="K34" s="108">
        <v>0.9</v>
      </c>
      <c r="L34" s="27"/>
      <c r="M34" s="109">
        <f>414-74</f>
        <v>340</v>
      </c>
      <c r="N34" s="109">
        <f>1765-275</f>
        <v>1490</v>
      </c>
      <c r="O34" s="607">
        <f t="shared" si="0"/>
        <v>1830</v>
      </c>
      <c r="P34" s="27"/>
      <c r="Q34" s="109">
        <f>414-74</f>
        <v>340</v>
      </c>
      <c r="R34" s="109">
        <f>1765-275</f>
        <v>1490</v>
      </c>
      <c r="S34" s="607">
        <f t="shared" si="1"/>
        <v>1830</v>
      </c>
      <c r="T34" s="27"/>
      <c r="U34" s="607">
        <f t="shared" si="2"/>
        <v>680</v>
      </c>
      <c r="V34" s="607">
        <f t="shared" si="3"/>
        <v>2980</v>
      </c>
      <c r="W34" s="607">
        <f t="shared" si="4"/>
        <v>3660</v>
      </c>
    </row>
    <row r="35" spans="1:23" ht="29.25">
      <c r="A35" s="233" t="s">
        <v>7</v>
      </c>
      <c r="B35" s="56" t="s">
        <v>8</v>
      </c>
      <c r="C35" s="123" t="s">
        <v>962</v>
      </c>
      <c r="D35" s="51"/>
      <c r="E35" s="107"/>
      <c r="F35" s="107" t="s">
        <v>952</v>
      </c>
      <c r="G35" s="107" t="s">
        <v>951</v>
      </c>
      <c r="H35" s="325" t="s">
        <v>1356</v>
      </c>
      <c r="I35" s="56">
        <v>103009</v>
      </c>
      <c r="J35" s="556" t="s">
        <v>12</v>
      </c>
      <c r="K35" s="108">
        <v>0.8</v>
      </c>
      <c r="L35" s="27"/>
      <c r="M35" s="109">
        <f>4280-4045</f>
        <v>235</v>
      </c>
      <c r="N35" s="109">
        <f>18150-17171</f>
        <v>979</v>
      </c>
      <c r="O35" s="607">
        <f t="shared" si="0"/>
        <v>1214</v>
      </c>
      <c r="P35" s="27"/>
      <c r="Q35" s="109">
        <f>4280-4045</f>
        <v>235</v>
      </c>
      <c r="R35" s="109">
        <f>18150-17171</f>
        <v>979</v>
      </c>
      <c r="S35" s="607">
        <f t="shared" si="1"/>
        <v>1214</v>
      </c>
      <c r="T35" s="27"/>
      <c r="U35" s="607">
        <f t="shared" si="2"/>
        <v>470</v>
      </c>
      <c r="V35" s="607">
        <f t="shared" si="3"/>
        <v>1958</v>
      </c>
      <c r="W35" s="607">
        <f t="shared" si="4"/>
        <v>2428</v>
      </c>
    </row>
    <row r="36" spans="1:23" ht="29.25">
      <c r="A36" s="233" t="s">
        <v>7</v>
      </c>
      <c r="B36" s="56" t="s">
        <v>8</v>
      </c>
      <c r="C36" s="123" t="s">
        <v>963</v>
      </c>
      <c r="D36" s="51"/>
      <c r="E36" s="107"/>
      <c r="F36" s="107" t="s">
        <v>952</v>
      </c>
      <c r="G36" s="107" t="s">
        <v>951</v>
      </c>
      <c r="H36" s="324" t="s">
        <v>1357</v>
      </c>
      <c r="I36" s="56">
        <v>102377</v>
      </c>
      <c r="J36" s="556" t="s">
        <v>12</v>
      </c>
      <c r="K36" s="108">
        <v>1</v>
      </c>
      <c r="L36" s="27"/>
      <c r="M36" s="109">
        <f>4590-4346</f>
        <v>244</v>
      </c>
      <c r="N36" s="109">
        <f>19881-18374</f>
        <v>1507</v>
      </c>
      <c r="O36" s="607">
        <f t="shared" si="0"/>
        <v>1751</v>
      </c>
      <c r="P36" s="27"/>
      <c r="Q36" s="109">
        <f>4590-4346</f>
        <v>244</v>
      </c>
      <c r="R36" s="109">
        <f>19881-18374</f>
        <v>1507</v>
      </c>
      <c r="S36" s="607">
        <f t="shared" si="1"/>
        <v>1751</v>
      </c>
      <c r="T36" s="27"/>
      <c r="U36" s="607">
        <f t="shared" si="2"/>
        <v>488</v>
      </c>
      <c r="V36" s="607">
        <f t="shared" si="3"/>
        <v>3014</v>
      </c>
      <c r="W36" s="607">
        <f t="shared" si="4"/>
        <v>3502</v>
      </c>
    </row>
    <row r="37" spans="1:23" ht="29.25">
      <c r="A37" s="233" t="s">
        <v>7</v>
      </c>
      <c r="B37" s="56" t="s">
        <v>8</v>
      </c>
      <c r="C37" s="123" t="s">
        <v>964</v>
      </c>
      <c r="D37" s="51"/>
      <c r="E37" s="107"/>
      <c r="F37" s="107" t="s">
        <v>952</v>
      </c>
      <c r="G37" s="107" t="s">
        <v>951</v>
      </c>
      <c r="H37" s="325" t="s">
        <v>1358</v>
      </c>
      <c r="I37" s="56">
        <v>92952709</v>
      </c>
      <c r="J37" s="556" t="s">
        <v>12</v>
      </c>
      <c r="K37" s="108">
        <v>1.3</v>
      </c>
      <c r="L37" s="27"/>
      <c r="M37" s="109">
        <f>1473-385</f>
        <v>1088</v>
      </c>
      <c r="N37" s="109">
        <f>5811-1176</f>
        <v>4635</v>
      </c>
      <c r="O37" s="607">
        <f t="shared" si="0"/>
        <v>5723</v>
      </c>
      <c r="P37" s="27"/>
      <c r="Q37" s="109">
        <f>1473-385</f>
        <v>1088</v>
      </c>
      <c r="R37" s="109">
        <f>5811-1176</f>
        <v>4635</v>
      </c>
      <c r="S37" s="607">
        <f t="shared" si="1"/>
        <v>5723</v>
      </c>
      <c r="T37" s="27"/>
      <c r="U37" s="607">
        <f t="shared" si="2"/>
        <v>2176</v>
      </c>
      <c r="V37" s="607">
        <f t="shared" si="3"/>
        <v>9270</v>
      </c>
      <c r="W37" s="607">
        <f t="shared" si="4"/>
        <v>11446</v>
      </c>
    </row>
    <row r="38" spans="1:23" ht="29.25">
      <c r="A38" s="233" t="s">
        <v>7</v>
      </c>
      <c r="B38" s="56" t="s">
        <v>8</v>
      </c>
      <c r="C38" s="123" t="s">
        <v>964</v>
      </c>
      <c r="D38" s="51"/>
      <c r="E38" s="107"/>
      <c r="F38" s="107" t="s">
        <v>952</v>
      </c>
      <c r="G38" s="107" t="s">
        <v>951</v>
      </c>
      <c r="H38" s="324" t="s">
        <v>1359</v>
      </c>
      <c r="I38" s="56">
        <v>92953173</v>
      </c>
      <c r="J38" s="556" t="s">
        <v>12</v>
      </c>
      <c r="K38" s="108">
        <v>0.9</v>
      </c>
      <c r="L38" s="27"/>
      <c r="M38" s="109">
        <f>542-155</f>
        <v>387</v>
      </c>
      <c r="N38" s="109">
        <f>2108-480</f>
        <v>1628</v>
      </c>
      <c r="O38" s="607">
        <f t="shared" si="0"/>
        <v>2015</v>
      </c>
      <c r="P38" s="27"/>
      <c r="Q38" s="109">
        <f>542-155</f>
        <v>387</v>
      </c>
      <c r="R38" s="109">
        <f>2108-480</f>
        <v>1628</v>
      </c>
      <c r="S38" s="607">
        <f t="shared" si="1"/>
        <v>2015</v>
      </c>
      <c r="T38" s="27"/>
      <c r="U38" s="607">
        <f t="shared" si="2"/>
        <v>774</v>
      </c>
      <c r="V38" s="607">
        <f t="shared" si="3"/>
        <v>3256</v>
      </c>
      <c r="W38" s="607">
        <f t="shared" si="4"/>
        <v>4030</v>
      </c>
    </row>
    <row r="39" spans="1:23" ht="29.25">
      <c r="A39" s="233" t="s">
        <v>7</v>
      </c>
      <c r="B39" s="56" t="s">
        <v>8</v>
      </c>
      <c r="C39" s="123" t="s">
        <v>951</v>
      </c>
      <c r="D39" s="51"/>
      <c r="E39" s="107"/>
      <c r="F39" s="107" t="s">
        <v>952</v>
      </c>
      <c r="G39" s="107" t="s">
        <v>951</v>
      </c>
      <c r="H39" s="325" t="s">
        <v>1306</v>
      </c>
      <c r="I39" s="56">
        <v>907703</v>
      </c>
      <c r="J39" s="556" t="s">
        <v>12</v>
      </c>
      <c r="K39" s="108">
        <v>3.7</v>
      </c>
      <c r="L39" s="27"/>
      <c r="M39" s="109">
        <f>33516-28722</f>
        <v>4794</v>
      </c>
      <c r="N39" s="109">
        <f>151942-130198</f>
        <v>21744</v>
      </c>
      <c r="O39" s="607">
        <f t="shared" si="0"/>
        <v>26538</v>
      </c>
      <c r="P39" s="27"/>
      <c r="Q39" s="109">
        <f>33516-28722</f>
        <v>4794</v>
      </c>
      <c r="R39" s="109">
        <f>151942-130198</f>
        <v>21744</v>
      </c>
      <c r="S39" s="607">
        <f t="shared" si="1"/>
        <v>26538</v>
      </c>
      <c r="T39" s="27"/>
      <c r="U39" s="607">
        <f t="shared" si="2"/>
        <v>9588</v>
      </c>
      <c r="V39" s="607">
        <f t="shared" si="3"/>
        <v>43488</v>
      </c>
      <c r="W39" s="607">
        <f t="shared" si="4"/>
        <v>53076</v>
      </c>
    </row>
    <row r="40" spans="1:23" ht="29.25">
      <c r="A40" s="233" t="s">
        <v>7</v>
      </c>
      <c r="B40" s="56" t="s">
        <v>8</v>
      </c>
      <c r="C40" s="123" t="s">
        <v>951</v>
      </c>
      <c r="D40" s="51"/>
      <c r="E40" s="107"/>
      <c r="F40" s="107" t="s">
        <v>952</v>
      </c>
      <c r="G40" s="107" t="s">
        <v>951</v>
      </c>
      <c r="H40" s="324" t="s">
        <v>1336</v>
      </c>
      <c r="I40" s="56">
        <v>92952695</v>
      </c>
      <c r="J40" s="556" t="s">
        <v>12</v>
      </c>
      <c r="K40" s="108">
        <v>3</v>
      </c>
      <c r="L40" s="27"/>
      <c r="M40" s="109">
        <f>1977-403</f>
        <v>1574</v>
      </c>
      <c r="N40" s="109">
        <f>8355-1421</f>
        <v>6934</v>
      </c>
      <c r="O40" s="607">
        <f t="shared" si="0"/>
        <v>8508</v>
      </c>
      <c r="P40" s="27"/>
      <c r="Q40" s="109">
        <f>1977-403</f>
        <v>1574</v>
      </c>
      <c r="R40" s="109">
        <f>8355-1421</f>
        <v>6934</v>
      </c>
      <c r="S40" s="607">
        <f t="shared" si="1"/>
        <v>8508</v>
      </c>
      <c r="T40" s="27"/>
      <c r="U40" s="607">
        <f t="shared" si="2"/>
        <v>3148</v>
      </c>
      <c r="V40" s="607">
        <f t="shared" si="3"/>
        <v>13868</v>
      </c>
      <c r="W40" s="607">
        <f t="shared" si="4"/>
        <v>17016</v>
      </c>
    </row>
    <row r="41" spans="1:23" ht="29.25">
      <c r="A41" s="233" t="s">
        <v>7</v>
      </c>
      <c r="B41" s="56" t="s">
        <v>8</v>
      </c>
      <c r="C41" s="123" t="s">
        <v>634</v>
      </c>
      <c r="D41" s="51"/>
      <c r="E41" s="107">
        <v>30</v>
      </c>
      <c r="F41" s="107" t="s">
        <v>952</v>
      </c>
      <c r="G41" s="107" t="s">
        <v>951</v>
      </c>
      <c r="H41" s="325" t="s">
        <v>1337</v>
      </c>
      <c r="I41" s="56">
        <v>102376</v>
      </c>
      <c r="J41" s="556" t="s">
        <v>12</v>
      </c>
      <c r="K41" s="108">
        <v>1</v>
      </c>
      <c r="L41" s="27"/>
      <c r="M41" s="109">
        <f>6311-5878</f>
        <v>433</v>
      </c>
      <c r="N41" s="109">
        <f>26457-24006</f>
        <v>2451</v>
      </c>
      <c r="O41" s="607">
        <f t="shared" si="0"/>
        <v>2884</v>
      </c>
      <c r="P41" s="27"/>
      <c r="Q41" s="109">
        <f>6311-5878</f>
        <v>433</v>
      </c>
      <c r="R41" s="109">
        <f>26457-24006</f>
        <v>2451</v>
      </c>
      <c r="S41" s="607">
        <f t="shared" si="1"/>
        <v>2884</v>
      </c>
      <c r="T41" s="27"/>
      <c r="U41" s="607">
        <f t="shared" si="2"/>
        <v>866</v>
      </c>
      <c r="V41" s="607">
        <f t="shared" si="3"/>
        <v>4902</v>
      </c>
      <c r="W41" s="607">
        <f t="shared" si="4"/>
        <v>5768</v>
      </c>
    </row>
    <row r="42" spans="1:23" ht="29.25">
      <c r="A42" s="233" t="s">
        <v>7</v>
      </c>
      <c r="B42" s="56" t="s">
        <v>8</v>
      </c>
      <c r="C42" s="123" t="s">
        <v>634</v>
      </c>
      <c r="D42" s="51"/>
      <c r="E42" s="107"/>
      <c r="F42" s="107" t="s">
        <v>952</v>
      </c>
      <c r="G42" s="107" t="s">
        <v>951</v>
      </c>
      <c r="H42" s="324" t="s">
        <v>1338</v>
      </c>
      <c r="I42" s="56">
        <v>102374</v>
      </c>
      <c r="J42" s="556" t="s">
        <v>12</v>
      </c>
      <c r="K42" s="108">
        <v>0.8</v>
      </c>
      <c r="L42" s="27"/>
      <c r="M42" s="109">
        <f>6062-5603</f>
        <v>459</v>
      </c>
      <c r="N42" s="109">
        <f>22717-20556</f>
        <v>2161</v>
      </c>
      <c r="O42" s="607">
        <f t="shared" si="0"/>
        <v>2620</v>
      </c>
      <c r="P42" s="27"/>
      <c r="Q42" s="109">
        <f>6062-5603</f>
        <v>459</v>
      </c>
      <c r="R42" s="109">
        <f>22717-20556</f>
        <v>2161</v>
      </c>
      <c r="S42" s="607">
        <f t="shared" si="1"/>
        <v>2620</v>
      </c>
      <c r="T42" s="27"/>
      <c r="U42" s="607">
        <f t="shared" si="2"/>
        <v>918</v>
      </c>
      <c r="V42" s="607">
        <f t="shared" si="3"/>
        <v>4322</v>
      </c>
      <c r="W42" s="607">
        <f t="shared" si="4"/>
        <v>5240</v>
      </c>
    </row>
    <row r="43" spans="1:23" ht="29.25">
      <c r="A43" s="233" t="s">
        <v>7</v>
      </c>
      <c r="B43" s="56" t="s">
        <v>8</v>
      </c>
      <c r="C43" s="123" t="s">
        <v>965</v>
      </c>
      <c r="D43" s="51"/>
      <c r="E43" s="107"/>
      <c r="F43" s="107" t="s">
        <v>952</v>
      </c>
      <c r="G43" s="107" t="s">
        <v>951</v>
      </c>
      <c r="H43" s="325" t="s">
        <v>1339</v>
      </c>
      <c r="I43" s="56">
        <v>92434118</v>
      </c>
      <c r="J43" s="556" t="s">
        <v>12</v>
      </c>
      <c r="K43" s="108">
        <v>1.2</v>
      </c>
      <c r="L43" s="27"/>
      <c r="M43" s="109">
        <f>649-289</f>
        <v>360</v>
      </c>
      <c r="N43" s="109">
        <f>2631-948</f>
        <v>1683</v>
      </c>
      <c r="O43" s="607">
        <f t="shared" si="0"/>
        <v>2043</v>
      </c>
      <c r="P43" s="27"/>
      <c r="Q43" s="109">
        <f>649-289</f>
        <v>360</v>
      </c>
      <c r="R43" s="109">
        <f>2631-948</f>
        <v>1683</v>
      </c>
      <c r="S43" s="607">
        <f t="shared" si="1"/>
        <v>2043</v>
      </c>
      <c r="T43" s="27"/>
      <c r="U43" s="607">
        <f t="shared" si="2"/>
        <v>720</v>
      </c>
      <c r="V43" s="607">
        <f t="shared" si="3"/>
        <v>3366</v>
      </c>
      <c r="W43" s="607">
        <f t="shared" si="4"/>
        <v>4086</v>
      </c>
    </row>
    <row r="44" spans="1:23" ht="29.25">
      <c r="A44" s="233" t="s">
        <v>7</v>
      </c>
      <c r="B44" s="56" t="s">
        <v>8</v>
      </c>
      <c r="C44" s="123" t="s">
        <v>965</v>
      </c>
      <c r="D44" s="51"/>
      <c r="E44" s="107"/>
      <c r="F44" s="107" t="s">
        <v>952</v>
      </c>
      <c r="G44" s="107" t="s">
        <v>951</v>
      </c>
      <c r="H44" s="324" t="s">
        <v>1340</v>
      </c>
      <c r="I44" s="56">
        <v>92434144</v>
      </c>
      <c r="J44" s="556" t="s">
        <v>12</v>
      </c>
      <c r="K44" s="108">
        <v>0.8</v>
      </c>
      <c r="L44" s="27"/>
      <c r="M44" s="109">
        <f>1050-234</f>
        <v>816</v>
      </c>
      <c r="N44" s="109">
        <f>4354-787</f>
        <v>3567</v>
      </c>
      <c r="O44" s="607">
        <f t="shared" si="0"/>
        <v>4383</v>
      </c>
      <c r="P44" s="27"/>
      <c r="Q44" s="109">
        <f>1050-234</f>
        <v>816</v>
      </c>
      <c r="R44" s="109">
        <f>4354-787</f>
        <v>3567</v>
      </c>
      <c r="S44" s="607">
        <f t="shared" si="1"/>
        <v>4383</v>
      </c>
      <c r="T44" s="27"/>
      <c r="U44" s="607">
        <f t="shared" si="2"/>
        <v>1632</v>
      </c>
      <c r="V44" s="607">
        <f t="shared" si="3"/>
        <v>7134</v>
      </c>
      <c r="W44" s="607">
        <f t="shared" si="4"/>
        <v>8766</v>
      </c>
    </row>
    <row r="45" spans="1:23" ht="29.25">
      <c r="A45" s="233" t="s">
        <v>7</v>
      </c>
      <c r="B45" s="56" t="s">
        <v>8</v>
      </c>
      <c r="C45" s="123" t="s">
        <v>966</v>
      </c>
      <c r="D45" s="51"/>
      <c r="E45" s="107" t="s">
        <v>141</v>
      </c>
      <c r="F45" s="107" t="s">
        <v>952</v>
      </c>
      <c r="G45" s="107" t="s">
        <v>951</v>
      </c>
      <c r="H45" s="325" t="s">
        <v>1307</v>
      </c>
      <c r="I45" s="56">
        <v>907822</v>
      </c>
      <c r="J45" s="556" t="s">
        <v>12</v>
      </c>
      <c r="K45" s="108">
        <v>1.3</v>
      </c>
      <c r="L45" s="27"/>
      <c r="M45" s="109">
        <f>10737-9455</f>
        <v>1282</v>
      </c>
      <c r="N45" s="109">
        <f>50408-44347</f>
        <v>6061</v>
      </c>
      <c r="O45" s="607">
        <f t="shared" si="0"/>
        <v>7343</v>
      </c>
      <c r="P45" s="27"/>
      <c r="Q45" s="109">
        <f>10737-9455</f>
        <v>1282</v>
      </c>
      <c r="R45" s="109">
        <f>50408-44347</f>
        <v>6061</v>
      </c>
      <c r="S45" s="607">
        <f t="shared" si="1"/>
        <v>7343</v>
      </c>
      <c r="T45" s="27"/>
      <c r="U45" s="607">
        <f t="shared" si="2"/>
        <v>2564</v>
      </c>
      <c r="V45" s="607">
        <f t="shared" si="3"/>
        <v>12122</v>
      </c>
      <c r="W45" s="607">
        <f t="shared" si="4"/>
        <v>14686</v>
      </c>
    </row>
    <row r="46" spans="1:23" ht="29.25">
      <c r="A46" s="233" t="s">
        <v>7</v>
      </c>
      <c r="B46" s="56" t="s">
        <v>8</v>
      </c>
      <c r="C46" s="123" t="s">
        <v>966</v>
      </c>
      <c r="D46" s="51"/>
      <c r="E46" s="107">
        <v>50</v>
      </c>
      <c r="F46" s="107" t="s">
        <v>952</v>
      </c>
      <c r="G46" s="107" t="s">
        <v>951</v>
      </c>
      <c r="H46" s="324" t="s">
        <v>1341</v>
      </c>
      <c r="I46" s="56">
        <v>101523</v>
      </c>
      <c r="J46" s="556" t="s">
        <v>12</v>
      </c>
      <c r="K46" s="108">
        <v>1</v>
      </c>
      <c r="L46" s="27"/>
      <c r="M46" s="109">
        <f>5256-4681</f>
        <v>575</v>
      </c>
      <c r="N46" s="109">
        <f>23072-20342</f>
        <v>2730</v>
      </c>
      <c r="O46" s="607">
        <f t="shared" si="0"/>
        <v>3305</v>
      </c>
      <c r="P46" s="27"/>
      <c r="Q46" s="109">
        <f>5256-4681</f>
        <v>575</v>
      </c>
      <c r="R46" s="109">
        <f>23072-20342</f>
        <v>2730</v>
      </c>
      <c r="S46" s="607">
        <f t="shared" si="1"/>
        <v>3305</v>
      </c>
      <c r="T46" s="27"/>
      <c r="U46" s="607">
        <f t="shared" si="2"/>
        <v>1150</v>
      </c>
      <c r="V46" s="607">
        <f t="shared" si="3"/>
        <v>5460</v>
      </c>
      <c r="W46" s="607">
        <f t="shared" si="4"/>
        <v>6610</v>
      </c>
    </row>
    <row r="47" spans="1:23" ht="29.25">
      <c r="A47" s="233" t="s">
        <v>7</v>
      </c>
      <c r="B47" s="56" t="s">
        <v>8</v>
      </c>
      <c r="C47" s="123" t="s">
        <v>967</v>
      </c>
      <c r="D47" s="51"/>
      <c r="E47" s="107" t="s">
        <v>141</v>
      </c>
      <c r="F47" s="107" t="s">
        <v>952</v>
      </c>
      <c r="G47" s="107" t="s">
        <v>951</v>
      </c>
      <c r="H47" s="325" t="s">
        <v>1342</v>
      </c>
      <c r="I47" s="56">
        <v>94658796</v>
      </c>
      <c r="J47" s="556" t="s">
        <v>12</v>
      </c>
      <c r="K47" s="108">
        <v>1.1</v>
      </c>
      <c r="L47" s="27"/>
      <c r="M47" s="109">
        <f>317-19</f>
        <v>298</v>
      </c>
      <c r="N47" s="109">
        <f>1422-149</f>
        <v>1273</v>
      </c>
      <c r="O47" s="607">
        <f t="shared" si="0"/>
        <v>1571</v>
      </c>
      <c r="P47" s="27"/>
      <c r="Q47" s="109">
        <f>317-19</f>
        <v>298</v>
      </c>
      <c r="R47" s="109">
        <f>1422-149</f>
        <v>1273</v>
      </c>
      <c r="S47" s="607">
        <f t="shared" si="1"/>
        <v>1571</v>
      </c>
      <c r="T47" s="27"/>
      <c r="U47" s="607">
        <f t="shared" si="2"/>
        <v>596</v>
      </c>
      <c r="V47" s="607">
        <f t="shared" si="3"/>
        <v>2546</v>
      </c>
      <c r="W47" s="607">
        <f t="shared" si="4"/>
        <v>3142</v>
      </c>
    </row>
    <row r="48" spans="1:23" ht="29.25">
      <c r="A48" s="233" t="s">
        <v>7</v>
      </c>
      <c r="B48" s="56" t="s">
        <v>8</v>
      </c>
      <c r="C48" s="123" t="s">
        <v>968</v>
      </c>
      <c r="D48" s="51"/>
      <c r="E48" s="107">
        <v>2</v>
      </c>
      <c r="F48" s="107" t="s">
        <v>952</v>
      </c>
      <c r="G48" s="107" t="s">
        <v>951</v>
      </c>
      <c r="H48" s="324" t="s">
        <v>1343</v>
      </c>
      <c r="I48" s="56">
        <v>92952708</v>
      </c>
      <c r="J48" s="556" t="s">
        <v>12</v>
      </c>
      <c r="K48" s="108">
        <v>0.7</v>
      </c>
      <c r="L48" s="27"/>
      <c r="M48" s="109">
        <f>906-390</f>
        <v>516</v>
      </c>
      <c r="N48" s="109">
        <f>3658-1377</f>
        <v>2281</v>
      </c>
      <c r="O48" s="607">
        <f t="shared" si="0"/>
        <v>2797</v>
      </c>
      <c r="P48" s="27"/>
      <c r="Q48" s="109">
        <f>906-390</f>
        <v>516</v>
      </c>
      <c r="R48" s="109">
        <f>3658-1377</f>
        <v>2281</v>
      </c>
      <c r="S48" s="607">
        <f t="shared" si="1"/>
        <v>2797</v>
      </c>
      <c r="T48" s="27"/>
      <c r="U48" s="607">
        <f t="shared" si="2"/>
        <v>1032</v>
      </c>
      <c r="V48" s="607">
        <f t="shared" si="3"/>
        <v>4562</v>
      </c>
      <c r="W48" s="607">
        <f t="shared" si="4"/>
        <v>5594</v>
      </c>
    </row>
    <row r="49" spans="1:23" ht="29.25">
      <c r="A49" s="233" t="s">
        <v>7</v>
      </c>
      <c r="B49" s="56" t="s">
        <v>8</v>
      </c>
      <c r="C49" s="123" t="s">
        <v>925</v>
      </c>
      <c r="D49" s="51"/>
      <c r="E49" s="107"/>
      <c r="F49" s="107" t="s">
        <v>952</v>
      </c>
      <c r="G49" s="107" t="s">
        <v>951</v>
      </c>
      <c r="H49" s="325" t="s">
        <v>1344</v>
      </c>
      <c r="I49" s="56">
        <v>92953171</v>
      </c>
      <c r="J49" s="556" t="s">
        <v>12</v>
      </c>
      <c r="K49" s="108">
        <v>0.7</v>
      </c>
      <c r="L49" s="27"/>
      <c r="M49" s="109">
        <f>353-53</f>
        <v>300</v>
      </c>
      <c r="N49" s="109">
        <f>1099-185</f>
        <v>914</v>
      </c>
      <c r="O49" s="607">
        <f t="shared" si="0"/>
        <v>1214</v>
      </c>
      <c r="P49" s="27"/>
      <c r="Q49" s="109">
        <f>353-53</f>
        <v>300</v>
      </c>
      <c r="R49" s="109">
        <f>1099-185</f>
        <v>914</v>
      </c>
      <c r="S49" s="607">
        <f t="shared" si="1"/>
        <v>1214</v>
      </c>
      <c r="T49" s="27"/>
      <c r="U49" s="607">
        <f t="shared" si="2"/>
        <v>600</v>
      </c>
      <c r="V49" s="607">
        <f t="shared" si="3"/>
        <v>1828</v>
      </c>
      <c r="W49" s="607">
        <f t="shared" si="4"/>
        <v>2428</v>
      </c>
    </row>
    <row r="50" spans="1:23" ht="29.25">
      <c r="A50" s="233" t="s">
        <v>7</v>
      </c>
      <c r="B50" s="56" t="s">
        <v>8</v>
      </c>
      <c r="C50" s="123" t="s">
        <v>957</v>
      </c>
      <c r="D50" s="51"/>
      <c r="E50" s="107"/>
      <c r="F50" s="107" t="s">
        <v>952</v>
      </c>
      <c r="G50" s="107" t="s">
        <v>951</v>
      </c>
      <c r="H50" s="324" t="s">
        <v>1345</v>
      </c>
      <c r="I50" s="56">
        <v>92434107</v>
      </c>
      <c r="J50" s="556" t="s">
        <v>12</v>
      </c>
      <c r="K50" s="108">
        <v>0.7</v>
      </c>
      <c r="L50" s="27"/>
      <c r="M50" s="109">
        <f>1175-252</f>
        <v>923</v>
      </c>
      <c r="N50" s="109">
        <f>4611-780</f>
        <v>3831</v>
      </c>
      <c r="O50" s="607">
        <f t="shared" si="0"/>
        <v>4754</v>
      </c>
      <c r="P50" s="27"/>
      <c r="Q50" s="109">
        <f>1175-252</f>
        <v>923</v>
      </c>
      <c r="R50" s="109">
        <f>4611-780</f>
        <v>3831</v>
      </c>
      <c r="S50" s="607">
        <f t="shared" si="1"/>
        <v>4754</v>
      </c>
      <c r="T50" s="27"/>
      <c r="U50" s="607">
        <f t="shared" si="2"/>
        <v>1846</v>
      </c>
      <c r="V50" s="607">
        <f t="shared" si="3"/>
        <v>7662</v>
      </c>
      <c r="W50" s="607">
        <f t="shared" si="4"/>
        <v>9508</v>
      </c>
    </row>
    <row r="51" spans="1:23" ht="29.25">
      <c r="A51" s="233" t="s">
        <v>7</v>
      </c>
      <c r="B51" s="56" t="s">
        <v>8</v>
      </c>
      <c r="C51" s="123" t="s">
        <v>969</v>
      </c>
      <c r="D51" s="51"/>
      <c r="E51" s="107"/>
      <c r="F51" s="107" t="s">
        <v>952</v>
      </c>
      <c r="G51" s="107" t="s">
        <v>951</v>
      </c>
      <c r="H51" s="325" t="s">
        <v>1325</v>
      </c>
      <c r="I51" s="56">
        <v>103008</v>
      </c>
      <c r="J51" s="556" t="s">
        <v>12</v>
      </c>
      <c r="K51" s="108">
        <v>1.1</v>
      </c>
      <c r="L51" s="27"/>
      <c r="M51" s="109">
        <f>8240-7882</f>
        <v>358</v>
      </c>
      <c r="N51" s="109">
        <f>33336-31729</f>
        <v>1607</v>
      </c>
      <c r="O51" s="607">
        <f t="shared" si="0"/>
        <v>1965</v>
      </c>
      <c r="P51" s="27"/>
      <c r="Q51" s="109">
        <f>8240-7882</f>
        <v>358</v>
      </c>
      <c r="R51" s="109">
        <f>33336-31729</f>
        <v>1607</v>
      </c>
      <c r="S51" s="607">
        <f t="shared" si="1"/>
        <v>1965</v>
      </c>
      <c r="T51" s="27"/>
      <c r="U51" s="607">
        <f t="shared" si="2"/>
        <v>716</v>
      </c>
      <c r="V51" s="607">
        <f t="shared" si="3"/>
        <v>3214</v>
      </c>
      <c r="W51" s="607">
        <f t="shared" si="4"/>
        <v>3930</v>
      </c>
    </row>
    <row r="52" spans="1:23" ht="29.25">
      <c r="A52" s="233" t="s">
        <v>7</v>
      </c>
      <c r="B52" s="56" t="s">
        <v>8</v>
      </c>
      <c r="C52" s="123" t="s">
        <v>970</v>
      </c>
      <c r="D52" s="51"/>
      <c r="E52" s="107"/>
      <c r="F52" s="107" t="s">
        <v>952</v>
      </c>
      <c r="G52" s="107" t="s">
        <v>951</v>
      </c>
      <c r="H52" s="324" t="s">
        <v>1327</v>
      </c>
      <c r="I52" s="56">
        <v>83904467</v>
      </c>
      <c r="J52" s="556" t="s">
        <v>12</v>
      </c>
      <c r="K52" s="108">
        <v>0.9</v>
      </c>
      <c r="L52" s="27"/>
      <c r="M52" s="109">
        <f>1474-943</f>
        <v>531</v>
      </c>
      <c r="N52" s="109">
        <f>6677-3982</f>
        <v>2695</v>
      </c>
      <c r="O52" s="607">
        <f t="shared" si="0"/>
        <v>3226</v>
      </c>
      <c r="P52" s="27"/>
      <c r="Q52" s="109">
        <f>1474-943</f>
        <v>531</v>
      </c>
      <c r="R52" s="109">
        <f>6677-3982</f>
        <v>2695</v>
      </c>
      <c r="S52" s="607">
        <f t="shared" si="1"/>
        <v>3226</v>
      </c>
      <c r="T52" s="27"/>
      <c r="U52" s="607">
        <f t="shared" si="2"/>
        <v>1062</v>
      </c>
      <c r="V52" s="607">
        <f t="shared" si="3"/>
        <v>5390</v>
      </c>
      <c r="W52" s="607">
        <f t="shared" si="4"/>
        <v>6452</v>
      </c>
    </row>
    <row r="53" spans="1:23" ht="29.25">
      <c r="A53" s="233" t="s">
        <v>7</v>
      </c>
      <c r="B53" s="56" t="s">
        <v>8</v>
      </c>
      <c r="C53" s="123" t="s">
        <v>971</v>
      </c>
      <c r="D53" s="51"/>
      <c r="E53" s="107"/>
      <c r="F53" s="107" t="s">
        <v>952</v>
      </c>
      <c r="G53" s="107" t="s">
        <v>951</v>
      </c>
      <c r="H53" s="325" t="s">
        <v>1328</v>
      </c>
      <c r="I53" s="56">
        <v>92952713</v>
      </c>
      <c r="J53" s="556" t="s">
        <v>12</v>
      </c>
      <c r="K53" s="108">
        <v>1.3</v>
      </c>
      <c r="L53" s="27"/>
      <c r="M53" s="109">
        <f>1872-357</f>
        <v>1515</v>
      </c>
      <c r="N53" s="109">
        <f>7511-1253</f>
        <v>6258</v>
      </c>
      <c r="O53" s="607">
        <f t="shared" si="0"/>
        <v>7773</v>
      </c>
      <c r="P53" s="27"/>
      <c r="Q53" s="109">
        <f>1872-357</f>
        <v>1515</v>
      </c>
      <c r="R53" s="109">
        <f>7511-1253</f>
        <v>6258</v>
      </c>
      <c r="S53" s="607">
        <f t="shared" si="1"/>
        <v>7773</v>
      </c>
      <c r="T53" s="27"/>
      <c r="U53" s="607">
        <f t="shared" si="2"/>
        <v>3030</v>
      </c>
      <c r="V53" s="607">
        <f t="shared" si="3"/>
        <v>12516</v>
      </c>
      <c r="W53" s="607">
        <f t="shared" si="4"/>
        <v>15546</v>
      </c>
    </row>
    <row r="54" spans="1:23" ht="29.25">
      <c r="A54" s="233" t="s">
        <v>7</v>
      </c>
      <c r="B54" s="56" t="s">
        <v>8</v>
      </c>
      <c r="C54" s="123" t="s">
        <v>971</v>
      </c>
      <c r="D54" s="51"/>
      <c r="E54" s="107"/>
      <c r="F54" s="107" t="s">
        <v>952</v>
      </c>
      <c r="G54" s="107" t="s">
        <v>951</v>
      </c>
      <c r="H54" s="324" t="s">
        <v>1329</v>
      </c>
      <c r="I54" s="56">
        <v>104771</v>
      </c>
      <c r="J54" s="556" t="s">
        <v>12</v>
      </c>
      <c r="K54" s="108">
        <v>1</v>
      </c>
      <c r="L54" s="27"/>
      <c r="M54" s="109">
        <f>6954-5532</f>
        <v>1422</v>
      </c>
      <c r="N54" s="109">
        <f>29829-26856</f>
        <v>2973</v>
      </c>
      <c r="O54" s="607">
        <f t="shared" si="0"/>
        <v>4395</v>
      </c>
      <c r="P54" s="27"/>
      <c r="Q54" s="109">
        <f>6954-5532</f>
        <v>1422</v>
      </c>
      <c r="R54" s="109">
        <f>29829-26856</f>
        <v>2973</v>
      </c>
      <c r="S54" s="607">
        <f t="shared" si="1"/>
        <v>4395</v>
      </c>
      <c r="T54" s="27"/>
      <c r="U54" s="607">
        <f t="shared" si="2"/>
        <v>2844</v>
      </c>
      <c r="V54" s="607">
        <f t="shared" si="3"/>
        <v>5946</v>
      </c>
      <c r="W54" s="607">
        <f t="shared" si="4"/>
        <v>8790</v>
      </c>
    </row>
    <row r="55" spans="1:23" ht="29.25">
      <c r="A55" s="233" t="s">
        <v>7</v>
      </c>
      <c r="B55" s="56" t="s">
        <v>8</v>
      </c>
      <c r="C55" s="123" t="s">
        <v>968</v>
      </c>
      <c r="D55" s="51"/>
      <c r="E55" s="107">
        <v>1</v>
      </c>
      <c r="F55" s="107" t="s">
        <v>952</v>
      </c>
      <c r="G55" s="107" t="s">
        <v>951</v>
      </c>
      <c r="H55" s="325" t="s">
        <v>1330</v>
      </c>
      <c r="I55" s="56">
        <v>91296845</v>
      </c>
      <c r="J55" s="556" t="s">
        <v>12</v>
      </c>
      <c r="K55" s="108">
        <v>1.4</v>
      </c>
      <c r="L55" s="27"/>
      <c r="M55" s="109">
        <f>3754-3356</f>
        <v>398</v>
      </c>
      <c r="N55" s="109">
        <f>14201-12639</f>
        <v>1562</v>
      </c>
      <c r="O55" s="607">
        <f t="shared" si="0"/>
        <v>1960</v>
      </c>
      <c r="P55" s="27"/>
      <c r="Q55" s="109">
        <f>3754-3356</f>
        <v>398</v>
      </c>
      <c r="R55" s="109">
        <f>14201-12639</f>
        <v>1562</v>
      </c>
      <c r="S55" s="607">
        <f t="shared" si="1"/>
        <v>1960</v>
      </c>
      <c r="T55" s="27"/>
      <c r="U55" s="607">
        <f t="shared" si="2"/>
        <v>796</v>
      </c>
      <c r="V55" s="607">
        <f t="shared" si="3"/>
        <v>3124</v>
      </c>
      <c r="W55" s="607">
        <f t="shared" si="4"/>
        <v>3920</v>
      </c>
    </row>
    <row r="56" spans="1:23" ht="29.25">
      <c r="A56" s="233" t="s">
        <v>7</v>
      </c>
      <c r="B56" s="56" t="s">
        <v>8</v>
      </c>
      <c r="C56" s="123" t="s">
        <v>967</v>
      </c>
      <c r="D56" s="51"/>
      <c r="E56" s="107">
        <v>2</v>
      </c>
      <c r="F56" s="107" t="s">
        <v>952</v>
      </c>
      <c r="G56" s="107" t="s">
        <v>951</v>
      </c>
      <c r="H56" s="324" t="s">
        <v>1305</v>
      </c>
      <c r="I56" s="56">
        <v>907707</v>
      </c>
      <c r="J56" s="556" t="s">
        <v>12</v>
      </c>
      <c r="K56" s="108">
        <v>0.9</v>
      </c>
      <c r="L56" s="27"/>
      <c r="M56" s="109">
        <f>5084-4829</f>
        <v>255</v>
      </c>
      <c r="N56" s="109">
        <f>22875-21703</f>
        <v>1172</v>
      </c>
      <c r="O56" s="607">
        <f t="shared" si="0"/>
        <v>1427</v>
      </c>
      <c r="P56" s="27"/>
      <c r="Q56" s="109">
        <f>5084-4829</f>
        <v>255</v>
      </c>
      <c r="R56" s="109">
        <f>22875-21703</f>
        <v>1172</v>
      </c>
      <c r="S56" s="607">
        <f t="shared" si="1"/>
        <v>1427</v>
      </c>
      <c r="T56" s="27"/>
      <c r="U56" s="607">
        <f t="shared" si="2"/>
        <v>510</v>
      </c>
      <c r="V56" s="607">
        <f t="shared" si="3"/>
        <v>2344</v>
      </c>
      <c r="W56" s="607">
        <f t="shared" si="4"/>
        <v>2854</v>
      </c>
    </row>
    <row r="57" spans="1:23" ht="29.25">
      <c r="A57" s="233" t="s">
        <v>7</v>
      </c>
      <c r="B57" s="56" t="s">
        <v>8</v>
      </c>
      <c r="C57" s="123" t="s">
        <v>972</v>
      </c>
      <c r="D57" s="51"/>
      <c r="E57" s="107">
        <v>4</v>
      </c>
      <c r="F57" s="107" t="s">
        <v>952</v>
      </c>
      <c r="G57" s="107" t="s">
        <v>951</v>
      </c>
      <c r="H57" s="325" t="s">
        <v>1331</v>
      </c>
      <c r="I57" s="56">
        <v>92952664</v>
      </c>
      <c r="J57" s="556" t="s">
        <v>12</v>
      </c>
      <c r="K57" s="108">
        <v>0.7</v>
      </c>
      <c r="L57" s="27"/>
      <c r="M57" s="109">
        <f>644-170</f>
        <v>474</v>
      </c>
      <c r="N57" s="109">
        <f>3031-580</f>
        <v>2451</v>
      </c>
      <c r="O57" s="607">
        <f t="shared" si="0"/>
        <v>2925</v>
      </c>
      <c r="P57" s="27"/>
      <c r="Q57" s="109">
        <f>644-170</f>
        <v>474</v>
      </c>
      <c r="R57" s="109">
        <f>3031-580</f>
        <v>2451</v>
      </c>
      <c r="S57" s="607">
        <f t="shared" si="1"/>
        <v>2925</v>
      </c>
      <c r="T57" s="27"/>
      <c r="U57" s="607">
        <f t="shared" si="2"/>
        <v>948</v>
      </c>
      <c r="V57" s="607">
        <f t="shared" si="3"/>
        <v>4902</v>
      </c>
      <c r="W57" s="607">
        <f t="shared" si="4"/>
        <v>5850</v>
      </c>
    </row>
    <row r="58" spans="1:23" ht="29.25">
      <c r="A58" s="233" t="s">
        <v>7</v>
      </c>
      <c r="B58" s="56" t="s">
        <v>8</v>
      </c>
      <c r="C58" s="123" t="s">
        <v>972</v>
      </c>
      <c r="D58" s="51"/>
      <c r="E58" s="107"/>
      <c r="F58" s="107" t="s">
        <v>952</v>
      </c>
      <c r="G58" s="107" t="s">
        <v>951</v>
      </c>
      <c r="H58" s="324" t="s">
        <v>1332</v>
      </c>
      <c r="I58" s="56">
        <v>92952686</v>
      </c>
      <c r="J58" s="556" t="s">
        <v>12</v>
      </c>
      <c r="K58" s="108">
        <v>0.9</v>
      </c>
      <c r="L58" s="27"/>
      <c r="M58" s="109">
        <f>603-166</f>
        <v>437</v>
      </c>
      <c r="N58" s="109">
        <f>2812-608</f>
        <v>2204</v>
      </c>
      <c r="O58" s="607">
        <f t="shared" si="0"/>
        <v>2641</v>
      </c>
      <c r="P58" s="27"/>
      <c r="Q58" s="109">
        <f>603-166</f>
        <v>437</v>
      </c>
      <c r="R58" s="109">
        <f>2812-608</f>
        <v>2204</v>
      </c>
      <c r="S58" s="607">
        <f t="shared" si="1"/>
        <v>2641</v>
      </c>
      <c r="T58" s="27"/>
      <c r="U58" s="607">
        <f t="shared" si="2"/>
        <v>874</v>
      </c>
      <c r="V58" s="607">
        <f t="shared" si="3"/>
        <v>4408</v>
      </c>
      <c r="W58" s="607">
        <f t="shared" si="4"/>
        <v>5282</v>
      </c>
    </row>
    <row r="59" spans="1:23" ht="29.25">
      <c r="A59" s="233" t="s">
        <v>7</v>
      </c>
      <c r="B59" s="56" t="s">
        <v>8</v>
      </c>
      <c r="C59" s="123" t="s">
        <v>964</v>
      </c>
      <c r="D59" s="51"/>
      <c r="E59" s="107"/>
      <c r="F59" s="107" t="s">
        <v>952</v>
      </c>
      <c r="G59" s="107" t="s">
        <v>951</v>
      </c>
      <c r="H59" s="325" t="s">
        <v>1333</v>
      </c>
      <c r="I59" s="56">
        <v>104770</v>
      </c>
      <c r="J59" s="556" t="s">
        <v>12</v>
      </c>
      <c r="K59" s="108">
        <v>0.5</v>
      </c>
      <c r="L59" s="27"/>
      <c r="M59" s="109">
        <f>2938-2587</f>
        <v>351</v>
      </c>
      <c r="N59" s="109">
        <f>14595-12845</f>
        <v>1750</v>
      </c>
      <c r="O59" s="607">
        <f t="shared" si="0"/>
        <v>2101</v>
      </c>
      <c r="P59" s="27"/>
      <c r="Q59" s="109">
        <f>2938-2587</f>
        <v>351</v>
      </c>
      <c r="R59" s="109">
        <f>14595-12845</f>
        <v>1750</v>
      </c>
      <c r="S59" s="607">
        <f t="shared" si="1"/>
        <v>2101</v>
      </c>
      <c r="T59" s="27"/>
      <c r="U59" s="607">
        <f t="shared" si="2"/>
        <v>702</v>
      </c>
      <c r="V59" s="607">
        <f t="shared" si="3"/>
        <v>3500</v>
      </c>
      <c r="W59" s="607">
        <f t="shared" si="4"/>
        <v>4202</v>
      </c>
    </row>
    <row r="60" spans="1:23" ht="29.25">
      <c r="A60" s="233" t="s">
        <v>7</v>
      </c>
      <c r="B60" s="56" t="s">
        <v>8</v>
      </c>
      <c r="C60" s="123" t="s">
        <v>951</v>
      </c>
      <c r="D60" s="51"/>
      <c r="E60" s="107"/>
      <c r="F60" s="107" t="s">
        <v>952</v>
      </c>
      <c r="G60" s="107" t="s">
        <v>951</v>
      </c>
      <c r="H60" s="324" t="s">
        <v>1335</v>
      </c>
      <c r="I60" s="56">
        <v>92952748</v>
      </c>
      <c r="J60" s="556" t="s">
        <v>12</v>
      </c>
      <c r="K60" s="108">
        <v>0.9</v>
      </c>
      <c r="L60" s="27"/>
      <c r="M60" s="109">
        <f>1800-327</f>
        <v>1473</v>
      </c>
      <c r="N60" s="109">
        <f>8000-1320</f>
        <v>6680</v>
      </c>
      <c r="O60" s="607">
        <f t="shared" si="0"/>
        <v>8153</v>
      </c>
      <c r="P60" s="27"/>
      <c r="Q60" s="109">
        <f>1800-327</f>
        <v>1473</v>
      </c>
      <c r="R60" s="109">
        <f>8000-1320</f>
        <v>6680</v>
      </c>
      <c r="S60" s="607">
        <f t="shared" si="1"/>
        <v>8153</v>
      </c>
      <c r="T60" s="27"/>
      <c r="U60" s="607">
        <f t="shared" si="2"/>
        <v>2946</v>
      </c>
      <c r="V60" s="607">
        <f t="shared" si="3"/>
        <v>13360</v>
      </c>
      <c r="W60" s="607">
        <f t="shared" si="4"/>
        <v>16306</v>
      </c>
    </row>
    <row r="61" spans="1:23" ht="29.25">
      <c r="A61" s="233" t="s">
        <v>7</v>
      </c>
      <c r="B61" s="56" t="s">
        <v>8</v>
      </c>
      <c r="C61" s="123" t="s">
        <v>955</v>
      </c>
      <c r="D61" s="51"/>
      <c r="E61" s="107">
        <v>5</v>
      </c>
      <c r="F61" s="107" t="s">
        <v>952</v>
      </c>
      <c r="G61" s="107" t="s">
        <v>951</v>
      </c>
      <c r="H61" s="325" t="s">
        <v>1315</v>
      </c>
      <c r="I61" s="56">
        <v>102370</v>
      </c>
      <c r="J61" s="556" t="s">
        <v>12</v>
      </c>
      <c r="K61" s="108">
        <v>0.9</v>
      </c>
      <c r="L61" s="27"/>
      <c r="M61" s="109">
        <f>7935-6991</f>
        <v>944</v>
      </c>
      <c r="N61" s="109">
        <f>32999-29037</f>
        <v>3962</v>
      </c>
      <c r="O61" s="607">
        <f t="shared" si="0"/>
        <v>4906</v>
      </c>
      <c r="P61" s="27"/>
      <c r="Q61" s="109">
        <f>7935-6991</f>
        <v>944</v>
      </c>
      <c r="R61" s="109">
        <f>32999-29037</f>
        <v>3962</v>
      </c>
      <c r="S61" s="607">
        <f t="shared" si="1"/>
        <v>4906</v>
      </c>
      <c r="T61" s="27"/>
      <c r="U61" s="607">
        <f t="shared" si="2"/>
        <v>1888</v>
      </c>
      <c r="V61" s="607">
        <f t="shared" si="3"/>
        <v>7924</v>
      </c>
      <c r="W61" s="607">
        <f t="shared" si="4"/>
        <v>9812</v>
      </c>
    </row>
    <row r="62" spans="1:23" ht="29.25">
      <c r="A62" s="233" t="s">
        <v>7</v>
      </c>
      <c r="B62" s="56" t="s">
        <v>8</v>
      </c>
      <c r="C62" s="123" t="s">
        <v>955</v>
      </c>
      <c r="D62" s="51"/>
      <c r="E62" s="107">
        <v>38</v>
      </c>
      <c r="F62" s="107" t="s">
        <v>952</v>
      </c>
      <c r="G62" s="107" t="s">
        <v>951</v>
      </c>
      <c r="H62" s="324" t="s">
        <v>1317</v>
      </c>
      <c r="I62" s="56">
        <v>102375</v>
      </c>
      <c r="J62" s="556" t="s">
        <v>12</v>
      </c>
      <c r="K62" s="108">
        <v>1.8</v>
      </c>
      <c r="L62" s="27"/>
      <c r="M62" s="109">
        <f>12620-11034</f>
        <v>1586</v>
      </c>
      <c r="N62" s="109">
        <f>53455-46929</f>
        <v>6526</v>
      </c>
      <c r="O62" s="607">
        <f t="shared" si="0"/>
        <v>8112</v>
      </c>
      <c r="P62" s="27"/>
      <c r="Q62" s="109">
        <f>12620-11034</f>
        <v>1586</v>
      </c>
      <c r="R62" s="109">
        <f>53455-46929</f>
        <v>6526</v>
      </c>
      <c r="S62" s="607">
        <f t="shared" si="1"/>
        <v>8112</v>
      </c>
      <c r="T62" s="27"/>
      <c r="U62" s="607">
        <f t="shared" si="2"/>
        <v>3172</v>
      </c>
      <c r="V62" s="607">
        <f t="shared" si="3"/>
        <v>13052</v>
      </c>
      <c r="W62" s="607">
        <f t="shared" si="4"/>
        <v>16224</v>
      </c>
    </row>
    <row r="63" spans="1:23" ht="29.25">
      <c r="A63" s="233" t="s">
        <v>7</v>
      </c>
      <c r="B63" s="56" t="s">
        <v>8</v>
      </c>
      <c r="C63" s="123" t="s">
        <v>955</v>
      </c>
      <c r="D63" s="51"/>
      <c r="E63" s="107"/>
      <c r="F63" s="107" t="s">
        <v>952</v>
      </c>
      <c r="G63" s="107" t="s">
        <v>951</v>
      </c>
      <c r="H63" s="325" t="s">
        <v>1319</v>
      </c>
      <c r="I63" s="56">
        <v>83558213</v>
      </c>
      <c r="J63" s="556" t="s">
        <v>12</v>
      </c>
      <c r="K63" s="108">
        <v>10</v>
      </c>
      <c r="L63" s="27"/>
      <c r="M63" s="109">
        <f>393-215</f>
        <v>178</v>
      </c>
      <c r="N63" s="109">
        <f>1811-1023</f>
        <v>788</v>
      </c>
      <c r="O63" s="607">
        <f t="shared" si="0"/>
        <v>966</v>
      </c>
      <c r="P63" s="27"/>
      <c r="Q63" s="109">
        <f>393-215</f>
        <v>178</v>
      </c>
      <c r="R63" s="109">
        <f>1811-1023</f>
        <v>788</v>
      </c>
      <c r="S63" s="607">
        <f t="shared" si="1"/>
        <v>966</v>
      </c>
      <c r="T63" s="27"/>
      <c r="U63" s="607">
        <f t="shared" si="2"/>
        <v>356</v>
      </c>
      <c r="V63" s="607">
        <f t="shared" si="3"/>
        <v>1576</v>
      </c>
      <c r="W63" s="607">
        <f t="shared" si="4"/>
        <v>1932</v>
      </c>
    </row>
    <row r="64" spans="1:23" ht="29.25">
      <c r="A64" s="233" t="s">
        <v>7</v>
      </c>
      <c r="B64" s="56" t="s">
        <v>8</v>
      </c>
      <c r="C64" s="123" t="s">
        <v>973</v>
      </c>
      <c r="D64" s="51"/>
      <c r="E64" s="107" t="s">
        <v>141</v>
      </c>
      <c r="F64" s="107" t="s">
        <v>952</v>
      </c>
      <c r="G64" s="107" t="s">
        <v>951</v>
      </c>
      <c r="H64" s="324" t="s">
        <v>1320</v>
      </c>
      <c r="I64" s="56">
        <v>102378</v>
      </c>
      <c r="J64" s="556" t="s">
        <v>12</v>
      </c>
      <c r="K64" s="108">
        <v>0.6</v>
      </c>
      <c r="L64" s="27"/>
      <c r="M64" s="109">
        <f>4199-3897</f>
        <v>302</v>
      </c>
      <c r="N64" s="109">
        <f>18677-16915</f>
        <v>1762</v>
      </c>
      <c r="O64" s="607">
        <f t="shared" si="0"/>
        <v>2064</v>
      </c>
      <c r="P64" s="27"/>
      <c r="Q64" s="109">
        <f>4199-3897</f>
        <v>302</v>
      </c>
      <c r="R64" s="109">
        <f>18677-16915</f>
        <v>1762</v>
      </c>
      <c r="S64" s="607">
        <f t="shared" si="1"/>
        <v>2064</v>
      </c>
      <c r="T64" s="27"/>
      <c r="U64" s="607">
        <f t="shared" si="2"/>
        <v>604</v>
      </c>
      <c r="V64" s="607">
        <f t="shared" si="3"/>
        <v>3524</v>
      </c>
      <c r="W64" s="607">
        <f t="shared" si="4"/>
        <v>4128</v>
      </c>
    </row>
    <row r="65" spans="1:23" ht="29.25">
      <c r="A65" s="233" t="s">
        <v>7</v>
      </c>
      <c r="B65" s="56" t="s">
        <v>8</v>
      </c>
      <c r="C65" s="123" t="s">
        <v>973</v>
      </c>
      <c r="D65" s="51"/>
      <c r="E65" s="107" t="s">
        <v>671</v>
      </c>
      <c r="F65" s="107" t="s">
        <v>952</v>
      </c>
      <c r="G65" s="107" t="s">
        <v>951</v>
      </c>
      <c r="H65" s="325" t="s">
        <v>1321</v>
      </c>
      <c r="I65" s="56">
        <v>104773</v>
      </c>
      <c r="J65" s="556" t="s">
        <v>12</v>
      </c>
      <c r="K65" s="108">
        <v>1</v>
      </c>
      <c r="L65" s="27"/>
      <c r="M65" s="109">
        <f>6687-6155</f>
        <v>532</v>
      </c>
      <c r="N65" s="109">
        <f>29889-27005</f>
        <v>2884</v>
      </c>
      <c r="O65" s="607">
        <f t="shared" si="0"/>
        <v>3416</v>
      </c>
      <c r="P65" s="27"/>
      <c r="Q65" s="109">
        <f>6687-6155</f>
        <v>532</v>
      </c>
      <c r="R65" s="109">
        <f>29889-27005</f>
        <v>2884</v>
      </c>
      <c r="S65" s="607">
        <f t="shared" si="1"/>
        <v>3416</v>
      </c>
      <c r="T65" s="27"/>
      <c r="U65" s="607">
        <f t="shared" si="2"/>
        <v>1064</v>
      </c>
      <c r="V65" s="607">
        <f t="shared" si="3"/>
        <v>5768</v>
      </c>
      <c r="W65" s="607">
        <f t="shared" si="4"/>
        <v>6832</v>
      </c>
    </row>
    <row r="66" spans="1:23" ht="29.25">
      <c r="A66" s="233" t="s">
        <v>7</v>
      </c>
      <c r="B66" s="56" t="s">
        <v>8</v>
      </c>
      <c r="C66" s="123" t="s">
        <v>974</v>
      </c>
      <c r="D66" s="51"/>
      <c r="E66" s="107"/>
      <c r="F66" s="107" t="s">
        <v>952</v>
      </c>
      <c r="G66" s="107" t="s">
        <v>951</v>
      </c>
      <c r="H66" s="324" t="s">
        <v>1322</v>
      </c>
      <c r="I66" s="56">
        <v>102373</v>
      </c>
      <c r="J66" s="556" t="s">
        <v>12</v>
      </c>
      <c r="K66" s="108">
        <v>1.2</v>
      </c>
      <c r="L66" s="27"/>
      <c r="M66" s="109">
        <f>7075-6775</f>
        <v>300</v>
      </c>
      <c r="N66" s="109">
        <f>30787-29384</f>
        <v>1403</v>
      </c>
      <c r="O66" s="607">
        <f t="shared" si="0"/>
        <v>1703</v>
      </c>
      <c r="P66" s="27"/>
      <c r="Q66" s="109">
        <f>7075-6775</f>
        <v>300</v>
      </c>
      <c r="R66" s="109">
        <f>30787-29384</f>
        <v>1403</v>
      </c>
      <c r="S66" s="607">
        <f t="shared" si="1"/>
        <v>1703</v>
      </c>
      <c r="T66" s="27"/>
      <c r="U66" s="607">
        <f t="shared" si="2"/>
        <v>600</v>
      </c>
      <c r="V66" s="607">
        <f t="shared" si="3"/>
        <v>2806</v>
      </c>
      <c r="W66" s="607">
        <f t="shared" si="4"/>
        <v>3406</v>
      </c>
    </row>
    <row r="67" spans="1:23" ht="29.25">
      <c r="A67" s="233" t="s">
        <v>7</v>
      </c>
      <c r="B67" s="56" t="s">
        <v>8</v>
      </c>
      <c r="C67" s="123" t="s">
        <v>971</v>
      </c>
      <c r="D67" s="51"/>
      <c r="E67" s="107"/>
      <c r="F67" s="107" t="s">
        <v>952</v>
      </c>
      <c r="G67" s="107" t="s">
        <v>951</v>
      </c>
      <c r="H67" s="325" t="s">
        <v>1323</v>
      </c>
      <c r="I67" s="56">
        <v>102379</v>
      </c>
      <c r="J67" s="556" t="s">
        <v>12</v>
      </c>
      <c r="K67" s="108">
        <v>1.2</v>
      </c>
      <c r="L67" s="27"/>
      <c r="M67" s="109">
        <f>9781-8153</f>
        <v>1628</v>
      </c>
      <c r="N67" s="109">
        <f>41388-34642</f>
        <v>6746</v>
      </c>
      <c r="O67" s="607">
        <f t="shared" si="0"/>
        <v>8374</v>
      </c>
      <c r="P67" s="27"/>
      <c r="Q67" s="109">
        <f>9781-8153</f>
        <v>1628</v>
      </c>
      <c r="R67" s="109">
        <f>41388-34642</f>
        <v>6746</v>
      </c>
      <c r="S67" s="607">
        <f t="shared" si="1"/>
        <v>8374</v>
      </c>
      <c r="T67" s="27"/>
      <c r="U67" s="607">
        <f t="shared" si="2"/>
        <v>3256</v>
      </c>
      <c r="V67" s="607">
        <f t="shared" si="3"/>
        <v>13492</v>
      </c>
      <c r="W67" s="607">
        <f t="shared" si="4"/>
        <v>16748</v>
      </c>
    </row>
    <row r="68" spans="1:23" ht="29.25">
      <c r="A68" s="233" t="s">
        <v>7</v>
      </c>
      <c r="B68" s="56" t="s">
        <v>8</v>
      </c>
      <c r="C68" s="123" t="s">
        <v>969</v>
      </c>
      <c r="D68" s="51"/>
      <c r="E68" s="107"/>
      <c r="F68" s="107" t="s">
        <v>952</v>
      </c>
      <c r="G68" s="107" t="s">
        <v>951</v>
      </c>
      <c r="H68" s="324" t="s">
        <v>1324</v>
      </c>
      <c r="I68" s="56">
        <v>103007</v>
      </c>
      <c r="J68" s="556" t="s">
        <v>12</v>
      </c>
      <c r="K68" s="108">
        <v>1</v>
      </c>
      <c r="L68" s="27"/>
      <c r="M68" s="109">
        <f>5729-5452</f>
        <v>277</v>
      </c>
      <c r="N68" s="109">
        <f>25888-24610</f>
        <v>1278</v>
      </c>
      <c r="O68" s="607">
        <f t="shared" si="0"/>
        <v>1555</v>
      </c>
      <c r="P68" s="27"/>
      <c r="Q68" s="109">
        <f>5729-5452</f>
        <v>277</v>
      </c>
      <c r="R68" s="109">
        <f>25888-24610</f>
        <v>1278</v>
      </c>
      <c r="S68" s="607">
        <f t="shared" si="1"/>
        <v>1555</v>
      </c>
      <c r="T68" s="27"/>
      <c r="U68" s="607">
        <f t="shared" si="2"/>
        <v>554</v>
      </c>
      <c r="V68" s="607">
        <f t="shared" si="3"/>
        <v>2556</v>
      </c>
      <c r="W68" s="607">
        <f t="shared" si="4"/>
        <v>3110</v>
      </c>
    </row>
    <row r="69" spans="1:23" ht="29.25">
      <c r="A69" s="233" t="s">
        <v>7</v>
      </c>
      <c r="B69" s="56" t="s">
        <v>8</v>
      </c>
      <c r="C69" s="123" t="s">
        <v>955</v>
      </c>
      <c r="D69" s="51"/>
      <c r="E69" s="107"/>
      <c r="F69" s="107" t="s">
        <v>952</v>
      </c>
      <c r="G69" s="107" t="s">
        <v>951</v>
      </c>
      <c r="H69" s="325" t="s">
        <v>1316</v>
      </c>
      <c r="I69" s="56">
        <v>92953355</v>
      </c>
      <c r="J69" s="556" t="s">
        <v>12</v>
      </c>
      <c r="K69" s="108">
        <v>2.2</v>
      </c>
      <c r="L69" s="27"/>
      <c r="M69" s="109">
        <f>2248-490</f>
        <v>1758</v>
      </c>
      <c r="N69" s="109">
        <f>9244-1706</f>
        <v>7538</v>
      </c>
      <c r="O69" s="607">
        <f t="shared" si="0"/>
        <v>9296</v>
      </c>
      <c r="P69" s="27"/>
      <c r="Q69" s="109">
        <f>2248-490</f>
        <v>1758</v>
      </c>
      <c r="R69" s="109">
        <f>9244-1706</f>
        <v>7538</v>
      </c>
      <c r="S69" s="607">
        <f t="shared" si="1"/>
        <v>9296</v>
      </c>
      <c r="T69" s="27"/>
      <c r="U69" s="607">
        <f t="shared" si="2"/>
        <v>3516</v>
      </c>
      <c r="V69" s="607">
        <f t="shared" si="3"/>
        <v>15076</v>
      </c>
      <c r="W69" s="607">
        <f t="shared" si="4"/>
        <v>18592</v>
      </c>
    </row>
    <row r="70" spans="1:23" ht="29.25">
      <c r="A70" s="233" t="s">
        <v>7</v>
      </c>
      <c r="B70" s="56" t="s">
        <v>8</v>
      </c>
      <c r="C70" s="123" t="s">
        <v>971</v>
      </c>
      <c r="D70" s="51"/>
      <c r="E70" s="107"/>
      <c r="F70" s="107" t="s">
        <v>952</v>
      </c>
      <c r="G70" s="107" t="s">
        <v>951</v>
      </c>
      <c r="H70" s="324" t="s">
        <v>1326</v>
      </c>
      <c r="I70" s="56">
        <v>83246593</v>
      </c>
      <c r="J70" s="556" t="s">
        <v>12</v>
      </c>
      <c r="K70" s="108">
        <v>0.6</v>
      </c>
      <c r="L70" s="27"/>
      <c r="M70" s="109">
        <f>2828-1915</f>
        <v>913</v>
      </c>
      <c r="N70" s="109">
        <f>8677-5709</f>
        <v>2968</v>
      </c>
      <c r="O70" s="607">
        <f t="shared" si="0"/>
        <v>3881</v>
      </c>
      <c r="P70" s="27"/>
      <c r="Q70" s="109">
        <f>2828-1915</f>
        <v>913</v>
      </c>
      <c r="R70" s="109">
        <f>8677-5709</f>
        <v>2968</v>
      </c>
      <c r="S70" s="607">
        <f t="shared" si="1"/>
        <v>3881</v>
      </c>
      <c r="T70" s="27"/>
      <c r="U70" s="607">
        <f t="shared" si="2"/>
        <v>1826</v>
      </c>
      <c r="V70" s="607">
        <f t="shared" si="3"/>
        <v>5936</v>
      </c>
      <c r="W70" s="607">
        <f t="shared" si="4"/>
        <v>7762</v>
      </c>
    </row>
    <row r="71" spans="1:23" ht="29.25">
      <c r="A71" s="234" t="s">
        <v>7</v>
      </c>
      <c r="B71" s="56" t="s">
        <v>8</v>
      </c>
      <c r="C71" s="87" t="s">
        <v>965</v>
      </c>
      <c r="D71" s="75"/>
      <c r="E71" s="75" t="s">
        <v>1789</v>
      </c>
      <c r="F71" s="75" t="s">
        <v>952</v>
      </c>
      <c r="G71" s="75" t="s">
        <v>951</v>
      </c>
      <c r="H71" s="325" t="s">
        <v>1788</v>
      </c>
      <c r="I71" s="75">
        <v>1399813</v>
      </c>
      <c r="J71" s="4" t="s">
        <v>12</v>
      </c>
      <c r="K71" s="391">
        <v>0.4</v>
      </c>
      <c r="L71" s="41"/>
      <c r="M71" s="12">
        <f>5127-4953</f>
        <v>174</v>
      </c>
      <c r="N71" s="12">
        <f>13155-12358</f>
        <v>797</v>
      </c>
      <c r="O71" s="607">
        <f t="shared" si="0"/>
        <v>971</v>
      </c>
      <c r="P71" s="41"/>
      <c r="Q71" s="12">
        <f>5127-4953</f>
        <v>174</v>
      </c>
      <c r="R71" s="12">
        <f>13155-12358</f>
        <v>797</v>
      </c>
      <c r="S71" s="607">
        <f t="shared" si="1"/>
        <v>971</v>
      </c>
      <c r="T71" s="41"/>
      <c r="U71" s="607">
        <f t="shared" si="2"/>
        <v>348</v>
      </c>
      <c r="V71" s="607">
        <f t="shared" si="3"/>
        <v>1594</v>
      </c>
      <c r="W71" s="607">
        <f t="shared" si="4"/>
        <v>1942</v>
      </c>
    </row>
    <row r="72" spans="1:23" ht="29.25">
      <c r="A72" s="234" t="s">
        <v>7</v>
      </c>
      <c r="B72" s="56" t="s">
        <v>8</v>
      </c>
      <c r="C72" s="87" t="s">
        <v>957</v>
      </c>
      <c r="D72" s="75" t="s">
        <v>80</v>
      </c>
      <c r="E72" s="536" t="s">
        <v>2063</v>
      </c>
      <c r="F72" s="75" t="s">
        <v>2061</v>
      </c>
      <c r="G72" s="160" t="s">
        <v>951</v>
      </c>
      <c r="H72" s="324" t="s">
        <v>2156</v>
      </c>
      <c r="I72" s="160">
        <v>89082681</v>
      </c>
      <c r="J72" s="143" t="s">
        <v>12</v>
      </c>
      <c r="K72" s="719">
        <v>0.4</v>
      </c>
      <c r="L72" s="41"/>
      <c r="M72" s="12">
        <f>1009-573</f>
        <v>436</v>
      </c>
      <c r="N72" s="12">
        <f>4043-2263</f>
        <v>1780</v>
      </c>
      <c r="O72" s="607">
        <f t="shared" si="0"/>
        <v>2216</v>
      </c>
      <c r="P72" s="41"/>
      <c r="Q72" s="12">
        <f>1009-573</f>
        <v>436</v>
      </c>
      <c r="R72" s="12">
        <f>4043-2263</f>
        <v>1780</v>
      </c>
      <c r="S72" s="607">
        <f t="shared" si="1"/>
        <v>2216</v>
      </c>
      <c r="T72" s="41"/>
      <c r="U72" s="607">
        <f t="shared" si="2"/>
        <v>872</v>
      </c>
      <c r="V72" s="607">
        <f t="shared" si="3"/>
        <v>3560</v>
      </c>
      <c r="W72" s="607">
        <f t="shared" si="4"/>
        <v>4432</v>
      </c>
    </row>
    <row r="73" spans="1:23" ht="29.25">
      <c r="A73" s="234" t="s">
        <v>7</v>
      </c>
      <c r="B73" s="60" t="s">
        <v>8</v>
      </c>
      <c r="C73" s="315" t="s">
        <v>957</v>
      </c>
      <c r="D73" s="322" t="s">
        <v>395</v>
      </c>
      <c r="E73" s="536" t="s">
        <v>2062</v>
      </c>
      <c r="F73" s="75" t="s">
        <v>2061</v>
      </c>
      <c r="G73" s="75" t="s">
        <v>951</v>
      </c>
      <c r="H73" s="325" t="s">
        <v>2157</v>
      </c>
      <c r="I73" s="75">
        <v>89081994</v>
      </c>
      <c r="J73" s="4" t="s">
        <v>12</v>
      </c>
      <c r="K73" s="391">
        <v>1.2</v>
      </c>
      <c r="L73" s="41"/>
      <c r="M73" s="12">
        <f>1736-1005</f>
        <v>731</v>
      </c>
      <c r="N73" s="12">
        <f>6798-3770</f>
        <v>3028</v>
      </c>
      <c r="O73" s="607">
        <f t="shared" si="0"/>
        <v>3759</v>
      </c>
      <c r="P73" s="41"/>
      <c r="Q73" s="12">
        <f>1736-1005</f>
        <v>731</v>
      </c>
      <c r="R73" s="12">
        <f>6798-3770</f>
        <v>3028</v>
      </c>
      <c r="S73" s="607">
        <f t="shared" si="1"/>
        <v>3759</v>
      </c>
      <c r="T73" s="41"/>
      <c r="U73" s="607">
        <f t="shared" si="2"/>
        <v>1462</v>
      </c>
      <c r="V73" s="607">
        <f t="shared" si="3"/>
        <v>6056</v>
      </c>
      <c r="W73" s="607">
        <f t="shared" si="4"/>
        <v>7518</v>
      </c>
    </row>
    <row r="74" spans="1:23" ht="29.25">
      <c r="A74" s="234" t="s">
        <v>7</v>
      </c>
      <c r="B74" s="56" t="s">
        <v>8</v>
      </c>
      <c r="C74" s="123" t="s">
        <v>370</v>
      </c>
      <c r="D74" s="51"/>
      <c r="E74" s="107"/>
      <c r="F74" s="107" t="s">
        <v>952</v>
      </c>
      <c r="G74" s="107" t="s">
        <v>951</v>
      </c>
      <c r="H74" s="325" t="s">
        <v>1318</v>
      </c>
      <c r="I74" s="56">
        <v>83247331</v>
      </c>
      <c r="J74" s="557" t="s">
        <v>149</v>
      </c>
      <c r="K74" s="108">
        <v>0.9</v>
      </c>
      <c r="L74" s="605">
        <f>27468-23631</f>
        <v>3837</v>
      </c>
      <c r="M74" s="27"/>
      <c r="N74" s="27"/>
      <c r="O74" s="109">
        <f>L74</f>
        <v>3837</v>
      </c>
      <c r="P74" s="605">
        <f>27468-23631</f>
        <v>3837</v>
      </c>
      <c r="Q74" s="27"/>
      <c r="R74" s="27"/>
      <c r="S74" s="109">
        <f>P74</f>
        <v>3837</v>
      </c>
      <c r="T74" s="605">
        <f>O74+S74</f>
        <v>7674</v>
      </c>
      <c r="U74" s="27"/>
      <c r="V74" s="27"/>
      <c r="W74" s="109">
        <f>T74</f>
        <v>7674</v>
      </c>
    </row>
    <row r="75" spans="1:23" ht="29.25">
      <c r="A75" s="233" t="s">
        <v>7</v>
      </c>
      <c r="B75" s="56" t="s">
        <v>8</v>
      </c>
      <c r="C75" s="51" t="s">
        <v>971</v>
      </c>
      <c r="D75" s="51"/>
      <c r="E75" s="51"/>
      <c r="F75" s="107" t="s">
        <v>952</v>
      </c>
      <c r="G75" s="107" t="s">
        <v>951</v>
      </c>
      <c r="H75" s="302" t="s">
        <v>1702</v>
      </c>
      <c r="I75" s="51">
        <v>129138</v>
      </c>
      <c r="J75" s="175" t="s">
        <v>147</v>
      </c>
      <c r="K75" s="275">
        <v>0.6</v>
      </c>
      <c r="L75" s="12">
        <f>23055-19779</f>
        <v>3276</v>
      </c>
      <c r="M75" s="41"/>
      <c r="N75" s="41"/>
      <c r="O75" s="109">
        <f>L75</f>
        <v>3276</v>
      </c>
      <c r="P75" s="12">
        <f>23055-19779</f>
        <v>3276</v>
      </c>
      <c r="Q75" s="41"/>
      <c r="R75" s="41"/>
      <c r="S75" s="109">
        <f>P75</f>
        <v>3276</v>
      </c>
      <c r="T75" s="605">
        <f>O75+S75</f>
        <v>6552</v>
      </c>
      <c r="U75" s="41"/>
      <c r="V75" s="41"/>
      <c r="W75" s="109">
        <f>T75</f>
        <v>6552</v>
      </c>
    </row>
    <row r="76" spans="1:23" ht="29.25">
      <c r="A76" s="233" t="s">
        <v>7</v>
      </c>
      <c r="B76" s="60" t="s">
        <v>8</v>
      </c>
      <c r="C76" s="52" t="s">
        <v>1498</v>
      </c>
      <c r="D76" s="52"/>
      <c r="E76" s="51"/>
      <c r="F76" s="107" t="s">
        <v>952</v>
      </c>
      <c r="G76" s="107" t="s">
        <v>951</v>
      </c>
      <c r="H76" s="302" t="s">
        <v>1703</v>
      </c>
      <c r="I76" s="51">
        <v>92434500</v>
      </c>
      <c r="J76" s="175" t="s">
        <v>147</v>
      </c>
      <c r="K76" s="51">
        <v>0.5</v>
      </c>
      <c r="L76" s="49">
        <f>1178-170</f>
        <v>1008</v>
      </c>
      <c r="M76" s="50"/>
      <c r="N76" s="50"/>
      <c r="O76" s="109">
        <f>L76</f>
        <v>1008</v>
      </c>
      <c r="P76" s="49">
        <f>1178-170</f>
        <v>1008</v>
      </c>
      <c r="Q76" s="50"/>
      <c r="R76" s="50"/>
      <c r="S76" s="109">
        <f>P76</f>
        <v>1008</v>
      </c>
      <c r="T76" s="605">
        <f>O76+S76</f>
        <v>2016</v>
      </c>
      <c r="U76" s="50"/>
      <c r="V76" s="50"/>
      <c r="W76" s="109">
        <f>T76</f>
        <v>2016</v>
      </c>
    </row>
    <row r="77" spans="1:23" ht="29.25">
      <c r="A77" s="233" t="s">
        <v>7</v>
      </c>
      <c r="B77" s="60" t="s">
        <v>8</v>
      </c>
      <c r="C77" s="718" t="s">
        <v>964</v>
      </c>
      <c r="D77" s="718"/>
      <c r="E77" s="51"/>
      <c r="F77" s="51" t="s">
        <v>952</v>
      </c>
      <c r="G77" s="51" t="s">
        <v>951</v>
      </c>
      <c r="H77" s="325" t="s">
        <v>1752</v>
      </c>
      <c r="I77" s="514">
        <v>1503997</v>
      </c>
      <c r="J77" s="175" t="s">
        <v>147</v>
      </c>
      <c r="K77" s="51">
        <v>0.2</v>
      </c>
      <c r="L77" s="12">
        <f>7275-6236</f>
        <v>1039</v>
      </c>
      <c r="M77" s="41"/>
      <c r="N77" s="41"/>
      <c r="O77" s="109">
        <f>L77</f>
        <v>1039</v>
      </c>
      <c r="P77" s="12">
        <f>7275-6236</f>
        <v>1039</v>
      </c>
      <c r="Q77" s="41"/>
      <c r="R77" s="41"/>
      <c r="S77" s="109">
        <f>P77</f>
        <v>1039</v>
      </c>
      <c r="T77" s="605">
        <f>O77+S77</f>
        <v>2078</v>
      </c>
      <c r="U77" s="41"/>
      <c r="V77" s="41"/>
      <c r="W77" s="109">
        <f>T77</f>
        <v>2078</v>
      </c>
    </row>
    <row r="78" spans="1:23" ht="30" thickBot="1">
      <c r="A78" s="233" t="s">
        <v>7</v>
      </c>
      <c r="B78" s="60" t="s">
        <v>8</v>
      </c>
      <c r="C78" s="315" t="s">
        <v>963</v>
      </c>
      <c r="D78" s="322"/>
      <c r="E78" s="537" t="s">
        <v>2064</v>
      </c>
      <c r="F78" s="75" t="s">
        <v>2061</v>
      </c>
      <c r="G78" s="75" t="s">
        <v>951</v>
      </c>
      <c r="H78" s="325" t="s">
        <v>2158</v>
      </c>
      <c r="I78" s="75">
        <v>1393868</v>
      </c>
      <c r="J78" s="137" t="s">
        <v>147</v>
      </c>
      <c r="K78" s="58">
        <v>2</v>
      </c>
      <c r="L78" s="28">
        <f>18688-15817</f>
        <v>2871</v>
      </c>
      <c r="M78" s="41"/>
      <c r="N78" s="41"/>
      <c r="O78" s="109">
        <f>L78</f>
        <v>2871</v>
      </c>
      <c r="P78" s="28">
        <f>18688-15817</f>
        <v>2871</v>
      </c>
      <c r="Q78" s="41"/>
      <c r="R78" s="41"/>
      <c r="S78" s="109">
        <f>P78</f>
        <v>2871</v>
      </c>
      <c r="T78" s="605">
        <f>O78+S78</f>
        <v>5742</v>
      </c>
      <c r="U78" s="41"/>
      <c r="V78" s="41"/>
      <c r="W78" s="109">
        <f>T78</f>
        <v>5742</v>
      </c>
    </row>
    <row r="79" spans="2:23" ht="23.25" customHeight="1">
      <c r="B79" s="424" t="s">
        <v>150</v>
      </c>
      <c r="C79" s="449" t="s">
        <v>1334</v>
      </c>
      <c r="D79" s="450"/>
      <c r="E79" s="451"/>
      <c r="F79" s="451"/>
      <c r="H79" s="410" t="s">
        <v>2030</v>
      </c>
      <c r="I79" s="450" t="s">
        <v>1334</v>
      </c>
      <c r="K79" s="1"/>
      <c r="N79" s="49" t="s">
        <v>151</v>
      </c>
      <c r="O79" s="279">
        <f>SUM(O18:O78)</f>
        <v>227641</v>
      </c>
      <c r="R79" s="49" t="s">
        <v>151</v>
      </c>
      <c r="S79" s="279">
        <f>SUM(S18:S78)</f>
        <v>227641</v>
      </c>
      <c r="V79" s="49" t="s">
        <v>151</v>
      </c>
      <c r="W79" s="279">
        <f>SUM(W18:W78)</f>
        <v>455282</v>
      </c>
    </row>
    <row r="80" spans="2:11" ht="15">
      <c r="B80" s="34"/>
      <c r="C80" s="246" t="s">
        <v>1704</v>
      </c>
      <c r="D80" s="452"/>
      <c r="E80" s="451"/>
      <c r="F80" s="451"/>
      <c r="H80" s="453"/>
      <c r="I80" s="452" t="s">
        <v>1704</v>
      </c>
      <c r="K80" s="1"/>
    </row>
    <row r="81" spans="2:9" ht="15.75" thickBot="1">
      <c r="B81" s="34"/>
      <c r="C81" s="246" t="s">
        <v>1023</v>
      </c>
      <c r="D81" s="452"/>
      <c r="E81" s="451"/>
      <c r="F81" s="451"/>
      <c r="H81" s="454"/>
      <c r="I81" s="455" t="s">
        <v>1023</v>
      </c>
    </row>
    <row r="82" spans="2:8" ht="15">
      <c r="B82" s="237" t="s">
        <v>1640</v>
      </c>
      <c r="C82" s="246">
        <v>8222146582</v>
      </c>
      <c r="D82" s="456"/>
      <c r="E82" s="451"/>
      <c r="F82" s="451"/>
      <c r="G82" s="451"/>
      <c r="H82" s="451"/>
    </row>
    <row r="83" spans="2:8" ht="15.75" thickBot="1">
      <c r="B83" s="200" t="s">
        <v>1644</v>
      </c>
      <c r="C83" s="457" t="s">
        <v>1705</v>
      </c>
      <c r="D83" s="458"/>
      <c r="E83" s="451"/>
      <c r="F83" s="451"/>
      <c r="G83" s="451"/>
      <c r="H83" s="451"/>
    </row>
    <row r="84" spans="3:13" ht="15">
      <c r="C84" s="1"/>
      <c r="D84" s="1"/>
      <c r="E84" s="1"/>
      <c r="F84" s="1"/>
      <c r="H84" s="390"/>
      <c r="L84" t="s">
        <v>155</v>
      </c>
      <c r="M84" s="2">
        <f>W79</f>
        <v>455282</v>
      </c>
    </row>
    <row r="85" ht="15" thickBot="1"/>
    <row r="86" spans="11:15" ht="47.25" customHeight="1">
      <c r="K86" s="796" t="s">
        <v>152</v>
      </c>
      <c r="L86" s="774" t="s">
        <v>2257</v>
      </c>
      <c r="M86" s="775"/>
      <c r="N86" s="776"/>
      <c r="O86" s="741" t="s">
        <v>153</v>
      </c>
    </row>
    <row r="87" spans="11:15" ht="25.5" customHeight="1">
      <c r="K87" s="797"/>
      <c r="L87" s="701" t="s">
        <v>154</v>
      </c>
      <c r="M87" s="701" t="s">
        <v>1017</v>
      </c>
      <c r="N87" s="701" t="s">
        <v>1018</v>
      </c>
      <c r="O87" s="794"/>
    </row>
    <row r="88" spans="11:15" ht="25.5" customHeight="1">
      <c r="K88" s="551" t="s">
        <v>147</v>
      </c>
      <c r="L88" s="598">
        <f>SUM(W75:W78)</f>
        <v>16388</v>
      </c>
      <c r="M88" s="41"/>
      <c r="N88" s="41"/>
      <c r="O88" s="599">
        <v>4</v>
      </c>
    </row>
    <row r="89" spans="11:15" ht="25.5" customHeight="1">
      <c r="K89" s="551" t="s">
        <v>149</v>
      </c>
      <c r="L89" s="598">
        <f>W74</f>
        <v>7674</v>
      </c>
      <c r="M89" s="91"/>
      <c r="N89" s="91"/>
      <c r="O89" s="702">
        <v>1</v>
      </c>
    </row>
    <row r="90" spans="11:15" ht="25.5" customHeight="1" thickBot="1">
      <c r="K90" s="586" t="s">
        <v>12</v>
      </c>
      <c r="L90" s="53"/>
      <c r="M90" s="583">
        <f>SUM(U18:U73)</f>
        <v>81064</v>
      </c>
      <c r="N90" s="583">
        <f>SUM(V18:V73)</f>
        <v>350156</v>
      </c>
      <c r="O90" s="689">
        <v>56</v>
      </c>
    </row>
    <row r="91" spans="11:15" ht="25.5" customHeight="1" thickBot="1">
      <c r="K91" s="14" t="s">
        <v>155</v>
      </c>
      <c r="L91" s="15">
        <f>SUM(L88:L90)</f>
        <v>24062</v>
      </c>
      <c r="M91" s="16">
        <f>M90</f>
        <v>81064</v>
      </c>
      <c r="N91" s="16">
        <f>N90</f>
        <v>350156</v>
      </c>
      <c r="O91" s="595">
        <f>SUM(O88:O90)</f>
        <v>61</v>
      </c>
    </row>
    <row r="92" spans="12:15" ht="25.5" customHeight="1" thickBot="1">
      <c r="L92" s="18" t="s">
        <v>156</v>
      </c>
      <c r="M92" s="273">
        <f>SUM(L91:N91)</f>
        <v>455282</v>
      </c>
      <c r="N92" s="2"/>
      <c r="O92" s="2"/>
    </row>
    <row r="95" spans="13:14" ht="14.25">
      <c r="M95" s="54"/>
      <c r="N95" s="2"/>
    </row>
  </sheetData>
  <sheetProtection/>
  <mergeCells count="23">
    <mergeCell ref="L15:O15"/>
    <mergeCell ref="L16:O16"/>
    <mergeCell ref="B1:L1"/>
    <mergeCell ref="K86:K87"/>
    <mergeCell ref="L86:N86"/>
    <mergeCell ref="O86:O87"/>
    <mergeCell ref="P15:S15"/>
    <mergeCell ref="T15:W15"/>
    <mergeCell ref="P16:S16"/>
    <mergeCell ref="T16:W16"/>
    <mergeCell ref="B3:I3"/>
    <mergeCell ref="B5:I5"/>
    <mergeCell ref="F15:F17"/>
    <mergeCell ref="K15:K17"/>
    <mergeCell ref="J15:J17"/>
    <mergeCell ref="I15:I17"/>
    <mergeCell ref="A15:A17"/>
    <mergeCell ref="B15:B17"/>
    <mergeCell ref="C15:C17"/>
    <mergeCell ref="D15:D17"/>
    <mergeCell ref="E15:E17"/>
    <mergeCell ref="H15:H17"/>
    <mergeCell ref="G15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85"/>
  <sheetViews>
    <sheetView zoomScale="50" zoomScaleNormal="50" zoomScalePageLayoutView="0" workbookViewId="0" topLeftCell="A58">
      <selection activeCell="L80" sqref="L80:N80"/>
    </sheetView>
  </sheetViews>
  <sheetFormatPr defaultColWidth="8.796875" defaultRowHeight="14.25"/>
  <cols>
    <col min="1" max="1" width="14.5" style="0" customWidth="1"/>
    <col min="2" max="2" width="14.09765625" style="0" customWidth="1"/>
    <col min="3" max="3" width="14" style="0" customWidth="1"/>
    <col min="4" max="4" width="14.8984375" style="0" customWidth="1"/>
    <col min="5" max="5" width="10.09765625" style="0" customWidth="1"/>
    <col min="6" max="6" width="10.3984375" style="0" customWidth="1"/>
    <col min="7" max="7" width="11.8984375" style="0" customWidth="1"/>
    <col min="8" max="8" width="17.69921875" style="0" customWidth="1"/>
    <col min="9" max="9" width="27.8984375" style="0" customWidth="1"/>
    <col min="10" max="10" width="12.19921875" style="0" customWidth="1"/>
    <col min="11" max="11" width="14.3984375" style="0" customWidth="1"/>
    <col min="12" max="12" width="15.19921875" style="0" customWidth="1"/>
    <col min="13" max="13" width="15" style="0" customWidth="1"/>
    <col min="14" max="14" width="17.09765625" style="0" customWidth="1"/>
    <col min="15" max="15" width="16.19921875" style="0" customWidth="1"/>
    <col min="16" max="19" width="15" style="0" customWidth="1"/>
    <col min="20" max="23" width="13.6992187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0" ht="15">
      <c r="B2" s="182"/>
      <c r="C2" s="182"/>
      <c r="D2" s="182"/>
      <c r="E2" s="182"/>
      <c r="F2" s="182"/>
      <c r="G2" s="182"/>
      <c r="H2" s="183"/>
      <c r="I2" s="184"/>
      <c r="J2" s="182"/>
    </row>
    <row r="3" spans="2:10" ht="29.25" customHeight="1">
      <c r="B3" s="782" t="s">
        <v>1019</v>
      </c>
      <c r="C3" s="783"/>
      <c r="D3" s="783"/>
      <c r="E3" s="783"/>
      <c r="F3" s="783"/>
      <c r="G3" s="783"/>
      <c r="H3" s="783"/>
      <c r="I3" s="784"/>
      <c r="J3" s="182"/>
    </row>
    <row r="4" spans="2:10" ht="15">
      <c r="B4" s="183"/>
      <c r="C4" s="183"/>
      <c r="D4" s="183"/>
      <c r="E4" s="183"/>
      <c r="F4" s="183"/>
      <c r="G4" s="183"/>
      <c r="H4" s="183"/>
      <c r="I4" s="184"/>
      <c r="J4" s="182"/>
    </row>
    <row r="5" spans="2:10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</row>
    <row r="6" spans="2:10" ht="15">
      <c r="B6" s="183"/>
      <c r="C6" s="183"/>
      <c r="D6" s="183"/>
      <c r="E6" s="183"/>
      <c r="F6" s="183"/>
      <c r="G6" s="183"/>
      <c r="H6" s="183"/>
      <c r="I6" s="184"/>
      <c r="J6" s="182"/>
    </row>
    <row r="7" spans="2:10" ht="15.75">
      <c r="B7" s="383" t="s">
        <v>950</v>
      </c>
      <c r="C7" s="182"/>
      <c r="D7" s="183"/>
      <c r="E7" s="183"/>
      <c r="F7" s="183"/>
      <c r="G7" s="182"/>
      <c r="H7" s="183"/>
      <c r="I7" s="184"/>
      <c r="J7" s="182"/>
    </row>
    <row r="8" spans="2:10" ht="15.75">
      <c r="B8" s="383" t="s">
        <v>2031</v>
      </c>
      <c r="C8" s="182"/>
      <c r="D8" s="183"/>
      <c r="E8" s="183"/>
      <c r="F8" s="183"/>
      <c r="G8" s="182"/>
      <c r="H8" s="183"/>
      <c r="I8" s="184"/>
      <c r="J8" s="182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0" ht="15.75">
      <c r="B10" s="186" t="s">
        <v>1634</v>
      </c>
      <c r="C10" s="182"/>
      <c r="D10" s="187"/>
      <c r="E10" s="183"/>
      <c r="F10" s="183"/>
      <c r="G10" s="182"/>
      <c r="H10" s="183"/>
      <c r="I10" s="184"/>
      <c r="J10" s="182"/>
    </row>
    <row r="11" spans="2:10" ht="15">
      <c r="B11" s="182" t="s">
        <v>1024</v>
      </c>
      <c r="C11" s="182"/>
      <c r="D11" s="182"/>
      <c r="E11" s="182"/>
      <c r="F11" s="182"/>
      <c r="G11" s="182"/>
      <c r="H11" s="183"/>
      <c r="I11" s="184"/>
      <c r="J11" s="182"/>
    </row>
    <row r="12" spans="2:10" ht="15.75">
      <c r="B12" s="188"/>
      <c r="C12" s="185"/>
      <c r="D12" s="187"/>
      <c r="E12" s="187"/>
      <c r="F12" s="187"/>
      <c r="G12" s="187"/>
      <c r="H12" s="190"/>
      <c r="I12" s="182"/>
      <c r="J12" s="182"/>
    </row>
    <row r="13" spans="2:10" ht="15.75">
      <c r="B13" s="188" t="s">
        <v>1015</v>
      </c>
      <c r="C13" s="185" t="s">
        <v>1016</v>
      </c>
      <c r="D13" s="187"/>
      <c r="E13" s="187"/>
      <c r="F13" s="187"/>
      <c r="G13" s="187"/>
      <c r="H13" s="569"/>
      <c r="I13" s="524"/>
      <c r="J13" s="182"/>
    </row>
    <row r="14" ht="15" thickBot="1">
      <c r="I14" s="19"/>
    </row>
    <row r="15" spans="1:23" ht="4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738</v>
      </c>
      <c r="I15" s="756" t="s">
        <v>5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4.25" customHeight="1">
      <c r="A16" s="760"/>
      <c r="B16" s="763"/>
      <c r="C16" s="766"/>
      <c r="D16" s="766"/>
      <c r="E16" s="757"/>
      <c r="F16" s="757"/>
      <c r="G16" s="766"/>
      <c r="H16" s="757"/>
      <c r="I16" s="757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9.25" customHeight="1" thickBot="1">
      <c r="A17" s="761"/>
      <c r="B17" s="764"/>
      <c r="C17" s="767"/>
      <c r="D17" s="767"/>
      <c r="E17" s="758"/>
      <c r="F17" s="758"/>
      <c r="G17" s="767"/>
      <c r="H17" s="758"/>
      <c r="I17" s="758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3" t="s">
        <v>7</v>
      </c>
      <c r="B18" s="21" t="s">
        <v>8</v>
      </c>
      <c r="C18" s="21" t="s">
        <v>977</v>
      </c>
      <c r="D18" s="40" t="s">
        <v>979</v>
      </c>
      <c r="E18" s="40"/>
      <c r="F18" s="40" t="s">
        <v>978</v>
      </c>
      <c r="G18" s="40" t="s">
        <v>977</v>
      </c>
      <c r="H18" s="40">
        <v>871783</v>
      </c>
      <c r="I18" s="313" t="s">
        <v>1509</v>
      </c>
      <c r="J18" s="559" t="s">
        <v>12</v>
      </c>
      <c r="K18" s="112">
        <v>6.6</v>
      </c>
      <c r="L18" s="50"/>
      <c r="M18" s="24">
        <f>6980-6097</f>
        <v>883</v>
      </c>
      <c r="N18" s="24">
        <f>30691-26613</f>
        <v>4078</v>
      </c>
      <c r="O18" s="24">
        <f>SUM(M18:N18)</f>
        <v>4961</v>
      </c>
      <c r="P18" s="50"/>
      <c r="Q18" s="24">
        <f>6980-6097</f>
        <v>883</v>
      </c>
      <c r="R18" s="24">
        <f>30691-26613</f>
        <v>4078</v>
      </c>
      <c r="S18" s="24">
        <f>SUM(Q18:R18)</f>
        <v>4961</v>
      </c>
      <c r="T18" s="50"/>
      <c r="U18" s="24">
        <f>M18+Q18</f>
        <v>1766</v>
      </c>
      <c r="V18" s="24">
        <f>N18+R18</f>
        <v>8156</v>
      </c>
      <c r="W18" s="24">
        <f>SUM(U18:V18)</f>
        <v>9922</v>
      </c>
    </row>
    <row r="19" spans="1:23" ht="29.25">
      <c r="A19" s="233" t="s">
        <v>7</v>
      </c>
      <c r="B19" s="25" t="s">
        <v>8</v>
      </c>
      <c r="C19" s="25" t="s">
        <v>977</v>
      </c>
      <c r="D19" s="42" t="s">
        <v>980</v>
      </c>
      <c r="E19" s="42"/>
      <c r="F19" s="42" t="s">
        <v>978</v>
      </c>
      <c r="G19" s="42" t="s">
        <v>977</v>
      </c>
      <c r="H19" s="42">
        <v>871784</v>
      </c>
      <c r="I19" s="302" t="s">
        <v>1510</v>
      </c>
      <c r="J19" s="69" t="s">
        <v>12</v>
      </c>
      <c r="K19" s="113">
        <v>7.5</v>
      </c>
      <c r="L19" s="41"/>
      <c r="M19" s="28">
        <f>24389-21164</f>
        <v>3225</v>
      </c>
      <c r="N19" s="28">
        <f>104014-89954</f>
        <v>14060</v>
      </c>
      <c r="O19" s="28">
        <f>SUM(M19:N19)</f>
        <v>17285</v>
      </c>
      <c r="P19" s="41"/>
      <c r="Q19" s="28">
        <f>24389-21164</f>
        <v>3225</v>
      </c>
      <c r="R19" s="28">
        <f>104014-89954</f>
        <v>14060</v>
      </c>
      <c r="S19" s="28">
        <f>SUM(Q19:R19)</f>
        <v>17285</v>
      </c>
      <c r="T19" s="41"/>
      <c r="U19" s="24">
        <f aca="true" t="shared" si="0" ref="U19:U59">M19+Q19</f>
        <v>6450</v>
      </c>
      <c r="V19" s="24">
        <f aca="true" t="shared" si="1" ref="V19:V59">N19+R19</f>
        <v>28120</v>
      </c>
      <c r="W19" s="28">
        <f>SUM(U19:V19)</f>
        <v>34570</v>
      </c>
    </row>
    <row r="20" spans="1:23" ht="29.25">
      <c r="A20" s="233" t="s">
        <v>7</v>
      </c>
      <c r="B20" s="25" t="s">
        <v>8</v>
      </c>
      <c r="C20" s="25" t="s">
        <v>977</v>
      </c>
      <c r="D20" s="42" t="s">
        <v>204</v>
      </c>
      <c r="E20" s="42"/>
      <c r="F20" s="42" t="s">
        <v>978</v>
      </c>
      <c r="G20" s="42" t="s">
        <v>977</v>
      </c>
      <c r="H20" s="42">
        <v>871782</v>
      </c>
      <c r="I20" s="313" t="s">
        <v>1511</v>
      </c>
      <c r="J20" s="69" t="s">
        <v>12</v>
      </c>
      <c r="K20" s="113">
        <v>6.6</v>
      </c>
      <c r="L20" s="41"/>
      <c r="M20" s="28">
        <f>19668-17210</f>
        <v>2458</v>
      </c>
      <c r="N20" s="28">
        <f>84186-73433</f>
        <v>10753</v>
      </c>
      <c r="O20" s="28">
        <f aca="true" t="shared" si="2" ref="O20:O59">SUM(M20:N20)</f>
        <v>13211</v>
      </c>
      <c r="P20" s="41"/>
      <c r="Q20" s="28">
        <f>19668-17210</f>
        <v>2458</v>
      </c>
      <c r="R20" s="28">
        <f>84186-73433</f>
        <v>10753</v>
      </c>
      <c r="S20" s="28">
        <f aca="true" t="shared" si="3" ref="S20:S59">SUM(Q20:R20)</f>
        <v>13211</v>
      </c>
      <c r="T20" s="41"/>
      <c r="U20" s="24">
        <f t="shared" si="0"/>
        <v>4916</v>
      </c>
      <c r="V20" s="24">
        <f t="shared" si="1"/>
        <v>21506</v>
      </c>
      <c r="W20" s="28">
        <f aca="true" t="shared" si="4" ref="W20:W59">SUM(U20:V20)</f>
        <v>26422</v>
      </c>
    </row>
    <row r="21" spans="1:23" ht="29.25">
      <c r="A21" s="233" t="s">
        <v>7</v>
      </c>
      <c r="B21" s="25" t="s">
        <v>8</v>
      </c>
      <c r="C21" s="25" t="s">
        <v>1007</v>
      </c>
      <c r="D21" s="42"/>
      <c r="E21" s="42"/>
      <c r="F21" s="42" t="s">
        <v>978</v>
      </c>
      <c r="G21" s="42" t="s">
        <v>977</v>
      </c>
      <c r="H21" s="42">
        <v>112482</v>
      </c>
      <c r="I21" s="313" t="s">
        <v>1550</v>
      </c>
      <c r="J21" s="69" t="s">
        <v>12</v>
      </c>
      <c r="K21" s="113">
        <v>0.3</v>
      </c>
      <c r="L21" s="41"/>
      <c r="M21" s="28">
        <f>1120-937</f>
        <v>183</v>
      </c>
      <c r="N21" s="28">
        <f>5166-4142</f>
        <v>1024</v>
      </c>
      <c r="O21" s="28">
        <f t="shared" si="2"/>
        <v>1207</v>
      </c>
      <c r="P21" s="41"/>
      <c r="Q21" s="28">
        <f>1120-937</f>
        <v>183</v>
      </c>
      <c r="R21" s="28">
        <f>5166-4142</f>
        <v>1024</v>
      </c>
      <c r="S21" s="28">
        <f t="shared" si="3"/>
        <v>1207</v>
      </c>
      <c r="T21" s="41"/>
      <c r="U21" s="24">
        <f t="shared" si="0"/>
        <v>366</v>
      </c>
      <c r="V21" s="24">
        <f t="shared" si="1"/>
        <v>2048</v>
      </c>
      <c r="W21" s="28">
        <f t="shared" si="4"/>
        <v>2414</v>
      </c>
    </row>
    <row r="22" spans="1:23" ht="29.25">
      <c r="A22" s="233" t="s">
        <v>7</v>
      </c>
      <c r="B22" s="25" t="s">
        <v>8</v>
      </c>
      <c r="C22" s="25" t="s">
        <v>977</v>
      </c>
      <c r="D22" s="42" t="s">
        <v>979</v>
      </c>
      <c r="E22" s="42"/>
      <c r="F22" s="42" t="s">
        <v>978</v>
      </c>
      <c r="G22" s="42" t="s">
        <v>977</v>
      </c>
      <c r="H22" s="42">
        <v>838115</v>
      </c>
      <c r="I22" s="302" t="s">
        <v>1508</v>
      </c>
      <c r="J22" s="69" t="s">
        <v>12</v>
      </c>
      <c r="K22" s="113">
        <v>6.6</v>
      </c>
      <c r="L22" s="41"/>
      <c r="M22" s="28">
        <f>20159-17697</f>
        <v>2462</v>
      </c>
      <c r="N22" s="28">
        <f>93482-81372</f>
        <v>12110</v>
      </c>
      <c r="O22" s="28">
        <f t="shared" si="2"/>
        <v>14572</v>
      </c>
      <c r="P22" s="41"/>
      <c r="Q22" s="28">
        <f>20159-17697</f>
        <v>2462</v>
      </c>
      <c r="R22" s="28">
        <f>93482-81372</f>
        <v>12110</v>
      </c>
      <c r="S22" s="28">
        <f t="shared" si="3"/>
        <v>14572</v>
      </c>
      <c r="T22" s="41"/>
      <c r="U22" s="24">
        <f t="shared" si="0"/>
        <v>4924</v>
      </c>
      <c r="V22" s="24">
        <f t="shared" si="1"/>
        <v>24220</v>
      </c>
      <c r="W22" s="28">
        <f t="shared" si="4"/>
        <v>29144</v>
      </c>
    </row>
    <row r="23" spans="1:23" ht="29.25">
      <c r="A23" s="233" t="s">
        <v>7</v>
      </c>
      <c r="B23" s="25" t="s">
        <v>8</v>
      </c>
      <c r="C23" s="25" t="s">
        <v>977</v>
      </c>
      <c r="D23" s="42" t="s">
        <v>981</v>
      </c>
      <c r="E23" s="42"/>
      <c r="F23" s="42" t="s">
        <v>978</v>
      </c>
      <c r="G23" s="42" t="s">
        <v>977</v>
      </c>
      <c r="H23" s="42">
        <v>907904</v>
      </c>
      <c r="I23" s="313" t="s">
        <v>1512</v>
      </c>
      <c r="J23" s="69" t="s">
        <v>12</v>
      </c>
      <c r="K23" s="113">
        <v>6.6</v>
      </c>
      <c r="L23" s="41"/>
      <c r="M23" s="28">
        <f>16271-14230</f>
        <v>2041</v>
      </c>
      <c r="N23" s="28">
        <f>74268-64474</f>
        <v>9794</v>
      </c>
      <c r="O23" s="28">
        <f t="shared" si="2"/>
        <v>11835</v>
      </c>
      <c r="P23" s="41"/>
      <c r="Q23" s="28">
        <f>16271-14230</f>
        <v>2041</v>
      </c>
      <c r="R23" s="28">
        <f>74268-64474</f>
        <v>9794</v>
      </c>
      <c r="S23" s="28">
        <f t="shared" si="3"/>
        <v>11835</v>
      </c>
      <c r="T23" s="41"/>
      <c r="U23" s="24">
        <f t="shared" si="0"/>
        <v>4082</v>
      </c>
      <c r="V23" s="24">
        <f t="shared" si="1"/>
        <v>19588</v>
      </c>
      <c r="W23" s="28">
        <f t="shared" si="4"/>
        <v>23670</v>
      </c>
    </row>
    <row r="24" spans="1:23" ht="29.25">
      <c r="A24" s="233" t="s">
        <v>7</v>
      </c>
      <c r="B24" s="25" t="s">
        <v>8</v>
      </c>
      <c r="C24" s="25" t="s">
        <v>977</v>
      </c>
      <c r="D24" s="25" t="s">
        <v>982</v>
      </c>
      <c r="E24" s="42"/>
      <c r="F24" s="42" t="s">
        <v>978</v>
      </c>
      <c r="G24" s="42" t="s">
        <v>977</v>
      </c>
      <c r="H24" s="42">
        <v>3515771</v>
      </c>
      <c r="I24" s="313" t="s">
        <v>1513</v>
      </c>
      <c r="J24" s="69" t="s">
        <v>12</v>
      </c>
      <c r="K24" s="113">
        <v>7.5</v>
      </c>
      <c r="L24" s="41"/>
      <c r="M24" s="28">
        <f>19030-15154</f>
        <v>3876</v>
      </c>
      <c r="N24" s="28">
        <f>83569-66301</f>
        <v>17268</v>
      </c>
      <c r="O24" s="28">
        <f t="shared" si="2"/>
        <v>21144</v>
      </c>
      <c r="P24" s="41"/>
      <c r="Q24" s="28">
        <f>19030-15154</f>
        <v>3876</v>
      </c>
      <c r="R24" s="28">
        <f>83569-66301</f>
        <v>17268</v>
      </c>
      <c r="S24" s="28">
        <f t="shared" si="3"/>
        <v>21144</v>
      </c>
      <c r="T24" s="41"/>
      <c r="U24" s="24">
        <f t="shared" si="0"/>
        <v>7752</v>
      </c>
      <c r="V24" s="24">
        <f t="shared" si="1"/>
        <v>34536</v>
      </c>
      <c r="W24" s="28">
        <f t="shared" si="4"/>
        <v>42288</v>
      </c>
    </row>
    <row r="25" spans="1:23" ht="29.25">
      <c r="A25" s="233" t="s">
        <v>7</v>
      </c>
      <c r="B25" s="25" t="s">
        <v>8</v>
      </c>
      <c r="C25" s="25" t="s">
        <v>977</v>
      </c>
      <c r="D25" s="42" t="s">
        <v>983</v>
      </c>
      <c r="E25" s="42"/>
      <c r="F25" s="42" t="s">
        <v>978</v>
      </c>
      <c r="G25" s="42" t="s">
        <v>977</v>
      </c>
      <c r="H25" s="42">
        <v>907906</v>
      </c>
      <c r="I25" s="302" t="s">
        <v>1515</v>
      </c>
      <c r="J25" s="69" t="s">
        <v>12</v>
      </c>
      <c r="K25" s="113">
        <v>8.5</v>
      </c>
      <c r="L25" s="41"/>
      <c r="M25" s="28">
        <f>32004-27364</f>
        <v>4640</v>
      </c>
      <c r="N25" s="28">
        <f>141613-120273</f>
        <v>21340</v>
      </c>
      <c r="O25" s="28">
        <f t="shared" si="2"/>
        <v>25980</v>
      </c>
      <c r="P25" s="41"/>
      <c r="Q25" s="28">
        <f>32004-27364</f>
        <v>4640</v>
      </c>
      <c r="R25" s="28">
        <f>141613-120273</f>
        <v>21340</v>
      </c>
      <c r="S25" s="28">
        <f t="shared" si="3"/>
        <v>25980</v>
      </c>
      <c r="T25" s="41"/>
      <c r="U25" s="24">
        <f t="shared" si="0"/>
        <v>9280</v>
      </c>
      <c r="V25" s="24">
        <f t="shared" si="1"/>
        <v>42680</v>
      </c>
      <c r="W25" s="28">
        <f t="shared" si="4"/>
        <v>51960</v>
      </c>
    </row>
    <row r="26" spans="1:23" ht="29.25">
      <c r="A26" s="233" t="s">
        <v>7</v>
      </c>
      <c r="B26" s="25" t="s">
        <v>8</v>
      </c>
      <c r="C26" s="25" t="s">
        <v>977</v>
      </c>
      <c r="D26" s="42" t="s">
        <v>369</v>
      </c>
      <c r="E26" s="42"/>
      <c r="F26" s="42" t="s">
        <v>978</v>
      </c>
      <c r="G26" s="42" t="s">
        <v>977</v>
      </c>
      <c r="H26" s="42">
        <v>907947</v>
      </c>
      <c r="I26" s="313" t="s">
        <v>1514</v>
      </c>
      <c r="J26" s="69" t="s">
        <v>12</v>
      </c>
      <c r="K26" s="113">
        <v>12</v>
      </c>
      <c r="L26" s="41"/>
      <c r="M26" s="28">
        <f>65024-56901</f>
        <v>8123</v>
      </c>
      <c r="N26" s="28">
        <f>284634-248183</f>
        <v>36451</v>
      </c>
      <c r="O26" s="28">
        <f t="shared" si="2"/>
        <v>44574</v>
      </c>
      <c r="P26" s="41"/>
      <c r="Q26" s="28">
        <f>65024-56901</f>
        <v>8123</v>
      </c>
      <c r="R26" s="28">
        <f>284634-248183</f>
        <v>36451</v>
      </c>
      <c r="S26" s="28">
        <f t="shared" si="3"/>
        <v>44574</v>
      </c>
      <c r="T26" s="41"/>
      <c r="U26" s="24">
        <f t="shared" si="0"/>
        <v>16246</v>
      </c>
      <c r="V26" s="24">
        <f t="shared" si="1"/>
        <v>72902</v>
      </c>
      <c r="W26" s="28">
        <f t="shared" si="4"/>
        <v>89148</v>
      </c>
    </row>
    <row r="27" spans="1:23" ht="43.5">
      <c r="A27" s="233" t="s">
        <v>7</v>
      </c>
      <c r="B27" s="25" t="s">
        <v>8</v>
      </c>
      <c r="C27" s="25" t="s">
        <v>977</v>
      </c>
      <c r="D27" s="25" t="s">
        <v>984</v>
      </c>
      <c r="E27" s="42"/>
      <c r="F27" s="42" t="s">
        <v>978</v>
      </c>
      <c r="G27" s="42" t="s">
        <v>977</v>
      </c>
      <c r="H27" s="42">
        <v>908018</v>
      </c>
      <c r="I27" s="313" t="s">
        <v>1516</v>
      </c>
      <c r="J27" s="69" t="s">
        <v>12</v>
      </c>
      <c r="K27" s="113">
        <v>13</v>
      </c>
      <c r="L27" s="41"/>
      <c r="M27" s="28">
        <f>25289-22007</f>
        <v>3282</v>
      </c>
      <c r="N27" s="28">
        <f>110030-95233</f>
        <v>14797</v>
      </c>
      <c r="O27" s="28">
        <f t="shared" si="2"/>
        <v>18079</v>
      </c>
      <c r="P27" s="41"/>
      <c r="Q27" s="28">
        <f>25289-22007</f>
        <v>3282</v>
      </c>
      <c r="R27" s="28">
        <f>110030-95233</f>
        <v>14797</v>
      </c>
      <c r="S27" s="28">
        <f t="shared" si="3"/>
        <v>18079</v>
      </c>
      <c r="T27" s="41"/>
      <c r="U27" s="24">
        <f t="shared" si="0"/>
        <v>6564</v>
      </c>
      <c r="V27" s="24">
        <f t="shared" si="1"/>
        <v>29594</v>
      </c>
      <c r="W27" s="28">
        <f t="shared" si="4"/>
        <v>36158</v>
      </c>
    </row>
    <row r="28" spans="1:23" ht="29.25">
      <c r="A28" s="233" t="s">
        <v>7</v>
      </c>
      <c r="B28" s="25" t="s">
        <v>8</v>
      </c>
      <c r="C28" s="25" t="s">
        <v>977</v>
      </c>
      <c r="D28" s="42" t="s">
        <v>985</v>
      </c>
      <c r="E28" s="42"/>
      <c r="F28" s="42" t="s">
        <v>978</v>
      </c>
      <c r="G28" s="42" t="s">
        <v>977</v>
      </c>
      <c r="H28" s="42">
        <v>90030883</v>
      </c>
      <c r="I28" s="302" t="s">
        <v>1519</v>
      </c>
      <c r="J28" s="69" t="s">
        <v>12</v>
      </c>
      <c r="K28" s="113">
        <v>6.6</v>
      </c>
      <c r="L28" s="41"/>
      <c r="M28" s="28">
        <f>6758-5775</f>
        <v>983</v>
      </c>
      <c r="N28" s="28">
        <f>26799-22848</f>
        <v>3951</v>
      </c>
      <c r="O28" s="28">
        <f t="shared" si="2"/>
        <v>4934</v>
      </c>
      <c r="P28" s="41"/>
      <c r="Q28" s="28">
        <f>6758-5775</f>
        <v>983</v>
      </c>
      <c r="R28" s="28">
        <f>26799-22848</f>
        <v>3951</v>
      </c>
      <c r="S28" s="28">
        <f t="shared" si="3"/>
        <v>4934</v>
      </c>
      <c r="T28" s="41"/>
      <c r="U28" s="24">
        <f t="shared" si="0"/>
        <v>1966</v>
      </c>
      <c r="V28" s="24">
        <f t="shared" si="1"/>
        <v>7902</v>
      </c>
      <c r="W28" s="28">
        <f t="shared" si="4"/>
        <v>9868</v>
      </c>
    </row>
    <row r="29" spans="1:23" ht="29.25">
      <c r="A29" s="233" t="s">
        <v>7</v>
      </c>
      <c r="B29" s="25" t="s">
        <v>8</v>
      </c>
      <c r="C29" s="25" t="s">
        <v>1007</v>
      </c>
      <c r="D29" s="42"/>
      <c r="E29" s="42"/>
      <c r="F29" s="42" t="s">
        <v>978</v>
      </c>
      <c r="G29" s="42" t="s">
        <v>977</v>
      </c>
      <c r="H29" s="42">
        <v>83900773</v>
      </c>
      <c r="I29" s="313" t="s">
        <v>1548</v>
      </c>
      <c r="J29" s="69" t="s">
        <v>12</v>
      </c>
      <c r="K29" s="113">
        <v>1.1</v>
      </c>
      <c r="L29" s="41"/>
      <c r="M29" s="28">
        <f>1277-138</f>
        <v>1139</v>
      </c>
      <c r="N29" s="28">
        <f>5670-652</f>
        <v>5018</v>
      </c>
      <c r="O29" s="28">
        <f t="shared" si="2"/>
        <v>6157</v>
      </c>
      <c r="P29" s="41"/>
      <c r="Q29" s="28">
        <f>1277-138</f>
        <v>1139</v>
      </c>
      <c r="R29" s="28">
        <f>5670-652</f>
        <v>5018</v>
      </c>
      <c r="S29" s="28">
        <f t="shared" si="3"/>
        <v>6157</v>
      </c>
      <c r="T29" s="41"/>
      <c r="U29" s="24">
        <f t="shared" si="0"/>
        <v>2278</v>
      </c>
      <c r="V29" s="24">
        <f t="shared" si="1"/>
        <v>10036</v>
      </c>
      <c r="W29" s="28">
        <f t="shared" si="4"/>
        <v>12314</v>
      </c>
    </row>
    <row r="30" spans="1:23" ht="29.25">
      <c r="A30" s="233" t="s">
        <v>7</v>
      </c>
      <c r="B30" s="25" t="s">
        <v>8</v>
      </c>
      <c r="C30" s="25" t="s">
        <v>311</v>
      </c>
      <c r="D30" s="42"/>
      <c r="E30" s="42"/>
      <c r="F30" s="42" t="s">
        <v>978</v>
      </c>
      <c r="G30" s="42" t="s">
        <v>977</v>
      </c>
      <c r="H30" s="42">
        <v>92952716</v>
      </c>
      <c r="I30" s="313" t="s">
        <v>1525</v>
      </c>
      <c r="J30" s="69" t="s">
        <v>12</v>
      </c>
      <c r="K30" s="113">
        <v>0.6</v>
      </c>
      <c r="L30" s="41"/>
      <c r="M30" s="28">
        <f>2435-499</f>
        <v>1936</v>
      </c>
      <c r="N30" s="28">
        <f>10122-1780</f>
        <v>8342</v>
      </c>
      <c r="O30" s="28">
        <f t="shared" si="2"/>
        <v>10278</v>
      </c>
      <c r="P30" s="41"/>
      <c r="Q30" s="28">
        <f>2435-499</f>
        <v>1936</v>
      </c>
      <c r="R30" s="28">
        <f>10122-1780</f>
        <v>8342</v>
      </c>
      <c r="S30" s="28">
        <f t="shared" si="3"/>
        <v>10278</v>
      </c>
      <c r="T30" s="41"/>
      <c r="U30" s="24">
        <f t="shared" si="0"/>
        <v>3872</v>
      </c>
      <c r="V30" s="24">
        <f t="shared" si="1"/>
        <v>16684</v>
      </c>
      <c r="W30" s="28">
        <f t="shared" si="4"/>
        <v>20556</v>
      </c>
    </row>
    <row r="31" spans="1:23" ht="29.25">
      <c r="A31" s="233" t="s">
        <v>7</v>
      </c>
      <c r="B31" s="25" t="s">
        <v>8</v>
      </c>
      <c r="C31" s="25" t="s">
        <v>977</v>
      </c>
      <c r="D31" s="25" t="s">
        <v>298</v>
      </c>
      <c r="E31" s="42"/>
      <c r="F31" s="42" t="s">
        <v>978</v>
      </c>
      <c r="G31" s="42" t="s">
        <v>977</v>
      </c>
      <c r="H31" s="42">
        <v>83904481</v>
      </c>
      <c r="I31" s="302" t="s">
        <v>1521</v>
      </c>
      <c r="J31" s="69" t="s">
        <v>12</v>
      </c>
      <c r="K31" s="113">
        <v>1.7</v>
      </c>
      <c r="L31" s="41"/>
      <c r="M31" s="28">
        <f>1509-818</f>
        <v>691</v>
      </c>
      <c r="N31" s="28">
        <f>6452-3490</f>
        <v>2962</v>
      </c>
      <c r="O31" s="28">
        <f t="shared" si="2"/>
        <v>3653</v>
      </c>
      <c r="P31" s="41"/>
      <c r="Q31" s="28">
        <f>1509-818</f>
        <v>691</v>
      </c>
      <c r="R31" s="28">
        <f>6452-3490</f>
        <v>2962</v>
      </c>
      <c r="S31" s="28">
        <f t="shared" si="3"/>
        <v>3653</v>
      </c>
      <c r="T31" s="41"/>
      <c r="U31" s="24">
        <f t="shared" si="0"/>
        <v>1382</v>
      </c>
      <c r="V31" s="24">
        <f t="shared" si="1"/>
        <v>5924</v>
      </c>
      <c r="W31" s="28">
        <f t="shared" si="4"/>
        <v>7306</v>
      </c>
    </row>
    <row r="32" spans="1:23" ht="29.25">
      <c r="A32" s="233" t="s">
        <v>7</v>
      </c>
      <c r="B32" s="25" t="s">
        <v>8</v>
      </c>
      <c r="C32" s="25" t="s">
        <v>1008</v>
      </c>
      <c r="D32" s="42"/>
      <c r="E32" s="42">
        <v>14</v>
      </c>
      <c r="F32" s="42" t="s">
        <v>978</v>
      </c>
      <c r="G32" s="42" t="s">
        <v>977</v>
      </c>
      <c r="H32" s="42">
        <v>92953219</v>
      </c>
      <c r="I32" s="313" t="s">
        <v>1528</v>
      </c>
      <c r="J32" s="69" t="s">
        <v>12</v>
      </c>
      <c r="K32" s="113">
        <v>1.4</v>
      </c>
      <c r="L32" s="41"/>
      <c r="M32" s="28">
        <f>1638-330</f>
        <v>1308</v>
      </c>
      <c r="N32" s="28">
        <f>6455-1112</f>
        <v>5343</v>
      </c>
      <c r="O32" s="28">
        <f t="shared" si="2"/>
        <v>6651</v>
      </c>
      <c r="P32" s="41"/>
      <c r="Q32" s="28">
        <f>1638-330</f>
        <v>1308</v>
      </c>
      <c r="R32" s="28">
        <f>6455-1112</f>
        <v>5343</v>
      </c>
      <c r="S32" s="28">
        <f t="shared" si="3"/>
        <v>6651</v>
      </c>
      <c r="T32" s="41"/>
      <c r="U32" s="24">
        <f t="shared" si="0"/>
        <v>2616</v>
      </c>
      <c r="V32" s="24">
        <f t="shared" si="1"/>
        <v>10686</v>
      </c>
      <c r="W32" s="28">
        <f t="shared" si="4"/>
        <v>13302</v>
      </c>
    </row>
    <row r="33" spans="1:23" ht="29.25">
      <c r="A33" s="233" t="s">
        <v>7</v>
      </c>
      <c r="B33" s="25" t="s">
        <v>8</v>
      </c>
      <c r="C33" s="25" t="s">
        <v>998</v>
      </c>
      <c r="D33" s="42"/>
      <c r="E33" s="42"/>
      <c r="F33" s="42" t="s">
        <v>978</v>
      </c>
      <c r="G33" s="42" t="s">
        <v>977</v>
      </c>
      <c r="H33" s="42">
        <v>105603</v>
      </c>
      <c r="I33" s="313" t="s">
        <v>1537</v>
      </c>
      <c r="J33" s="69" t="s">
        <v>12</v>
      </c>
      <c r="K33" s="113">
        <v>2.2</v>
      </c>
      <c r="L33" s="41"/>
      <c r="M33" s="28">
        <f>5375-4675</f>
        <v>700</v>
      </c>
      <c r="N33" s="28">
        <f>23988-20715</f>
        <v>3273</v>
      </c>
      <c r="O33" s="28">
        <f t="shared" si="2"/>
        <v>3973</v>
      </c>
      <c r="P33" s="41"/>
      <c r="Q33" s="28">
        <f>5375-4675</f>
        <v>700</v>
      </c>
      <c r="R33" s="28">
        <f>23988-20715</f>
        <v>3273</v>
      </c>
      <c r="S33" s="28">
        <f t="shared" si="3"/>
        <v>3973</v>
      </c>
      <c r="T33" s="41"/>
      <c r="U33" s="24">
        <f t="shared" si="0"/>
        <v>1400</v>
      </c>
      <c r="V33" s="24">
        <f t="shared" si="1"/>
        <v>6546</v>
      </c>
      <c r="W33" s="28">
        <f t="shared" si="4"/>
        <v>7946</v>
      </c>
    </row>
    <row r="34" spans="1:23" ht="29.25">
      <c r="A34" s="233" t="s">
        <v>7</v>
      </c>
      <c r="B34" s="25" t="s">
        <v>8</v>
      </c>
      <c r="C34" s="25" t="s">
        <v>987</v>
      </c>
      <c r="D34" s="42"/>
      <c r="E34" s="42"/>
      <c r="F34" s="42" t="s">
        <v>978</v>
      </c>
      <c r="G34" s="42" t="s">
        <v>977</v>
      </c>
      <c r="H34" s="42">
        <v>105602</v>
      </c>
      <c r="I34" s="302" t="s">
        <v>1522</v>
      </c>
      <c r="J34" s="69" t="s">
        <v>12</v>
      </c>
      <c r="K34" s="113">
        <v>0.6</v>
      </c>
      <c r="L34" s="41"/>
      <c r="M34" s="28">
        <f>4111-3484</f>
        <v>627</v>
      </c>
      <c r="N34" s="28">
        <f>14211-12460</f>
        <v>1751</v>
      </c>
      <c r="O34" s="28">
        <f t="shared" si="2"/>
        <v>2378</v>
      </c>
      <c r="P34" s="41"/>
      <c r="Q34" s="28">
        <f>4111-3484</f>
        <v>627</v>
      </c>
      <c r="R34" s="28">
        <f>14211-12460</f>
        <v>1751</v>
      </c>
      <c r="S34" s="28">
        <f t="shared" si="3"/>
        <v>2378</v>
      </c>
      <c r="T34" s="41"/>
      <c r="U34" s="24">
        <f t="shared" si="0"/>
        <v>1254</v>
      </c>
      <c r="V34" s="24">
        <f t="shared" si="1"/>
        <v>3502</v>
      </c>
      <c r="W34" s="28">
        <f t="shared" si="4"/>
        <v>4756</v>
      </c>
    </row>
    <row r="35" spans="1:23" ht="29.25">
      <c r="A35" s="233" t="s">
        <v>7</v>
      </c>
      <c r="B35" s="25" t="s">
        <v>8</v>
      </c>
      <c r="C35" s="25" t="s">
        <v>987</v>
      </c>
      <c r="D35" s="42"/>
      <c r="E35" s="42"/>
      <c r="F35" s="42" t="s">
        <v>978</v>
      </c>
      <c r="G35" s="42" t="s">
        <v>977</v>
      </c>
      <c r="H35" s="42">
        <v>123239</v>
      </c>
      <c r="I35" s="313" t="s">
        <v>1523</v>
      </c>
      <c r="J35" s="69" t="s">
        <v>12</v>
      </c>
      <c r="K35" s="113">
        <v>1.4</v>
      </c>
      <c r="L35" s="41"/>
      <c r="M35" s="28">
        <f>6578-5796</f>
        <v>782</v>
      </c>
      <c r="N35" s="28">
        <f>26879-23229</f>
        <v>3650</v>
      </c>
      <c r="O35" s="28">
        <f t="shared" si="2"/>
        <v>4432</v>
      </c>
      <c r="P35" s="41"/>
      <c r="Q35" s="28">
        <f>6578-5796</f>
        <v>782</v>
      </c>
      <c r="R35" s="28">
        <f>26879-23229</f>
        <v>3650</v>
      </c>
      <c r="S35" s="28">
        <f t="shared" si="3"/>
        <v>4432</v>
      </c>
      <c r="T35" s="41"/>
      <c r="U35" s="24">
        <f t="shared" si="0"/>
        <v>1564</v>
      </c>
      <c r="V35" s="24">
        <f t="shared" si="1"/>
        <v>7300</v>
      </c>
      <c r="W35" s="28">
        <f t="shared" si="4"/>
        <v>8864</v>
      </c>
    </row>
    <row r="36" spans="1:23" ht="29.25">
      <c r="A36" s="233" t="s">
        <v>7</v>
      </c>
      <c r="B36" s="25" t="s">
        <v>8</v>
      </c>
      <c r="C36" s="25" t="s">
        <v>990</v>
      </c>
      <c r="D36" s="42"/>
      <c r="E36" s="42">
        <v>7</v>
      </c>
      <c r="F36" s="42" t="s">
        <v>978</v>
      </c>
      <c r="G36" s="42" t="s">
        <v>977</v>
      </c>
      <c r="H36" s="42">
        <v>123237</v>
      </c>
      <c r="I36" s="313" t="s">
        <v>1527</v>
      </c>
      <c r="J36" s="69" t="s">
        <v>12</v>
      </c>
      <c r="K36" s="113">
        <v>1.8</v>
      </c>
      <c r="L36" s="41"/>
      <c r="M36" s="28">
        <f>12829-11284</f>
        <v>1545</v>
      </c>
      <c r="N36" s="28">
        <f>56657-49868</f>
        <v>6789</v>
      </c>
      <c r="O36" s="28">
        <f t="shared" si="2"/>
        <v>8334</v>
      </c>
      <c r="P36" s="41"/>
      <c r="Q36" s="28">
        <f>12829-11284</f>
        <v>1545</v>
      </c>
      <c r="R36" s="28">
        <f>56657-49868</f>
        <v>6789</v>
      </c>
      <c r="S36" s="28">
        <f t="shared" si="3"/>
        <v>8334</v>
      </c>
      <c r="T36" s="41"/>
      <c r="U36" s="24">
        <f t="shared" si="0"/>
        <v>3090</v>
      </c>
      <c r="V36" s="24">
        <f t="shared" si="1"/>
        <v>13578</v>
      </c>
      <c r="W36" s="28">
        <f t="shared" si="4"/>
        <v>16668</v>
      </c>
    </row>
    <row r="37" spans="1:23" ht="29.25">
      <c r="A37" s="233" t="s">
        <v>7</v>
      </c>
      <c r="B37" s="25" t="s">
        <v>8</v>
      </c>
      <c r="C37" s="25" t="s">
        <v>1003</v>
      </c>
      <c r="D37" s="42"/>
      <c r="E37" s="42"/>
      <c r="F37" s="42" t="s">
        <v>978</v>
      </c>
      <c r="G37" s="42" t="s">
        <v>977</v>
      </c>
      <c r="H37" s="42">
        <v>122817</v>
      </c>
      <c r="I37" s="302" t="s">
        <v>1544</v>
      </c>
      <c r="J37" s="69" t="s">
        <v>12</v>
      </c>
      <c r="K37" s="113">
        <v>1.5</v>
      </c>
      <c r="L37" s="41"/>
      <c r="M37" s="28">
        <f>5560-1120</f>
        <v>4440</v>
      </c>
      <c r="N37" s="28">
        <f>25466-22413</f>
        <v>3053</v>
      </c>
      <c r="O37" s="28">
        <f t="shared" si="2"/>
        <v>7493</v>
      </c>
      <c r="P37" s="41"/>
      <c r="Q37" s="28">
        <f>5560-1120</f>
        <v>4440</v>
      </c>
      <c r="R37" s="28">
        <f>25466-22413</f>
        <v>3053</v>
      </c>
      <c r="S37" s="28">
        <f t="shared" si="3"/>
        <v>7493</v>
      </c>
      <c r="T37" s="41"/>
      <c r="U37" s="24">
        <f t="shared" si="0"/>
        <v>8880</v>
      </c>
      <c r="V37" s="24">
        <f t="shared" si="1"/>
        <v>6106</v>
      </c>
      <c r="W37" s="28">
        <f t="shared" si="4"/>
        <v>14986</v>
      </c>
    </row>
    <row r="38" spans="1:23" ht="29.25">
      <c r="A38" s="233" t="s">
        <v>7</v>
      </c>
      <c r="B38" s="25" t="s">
        <v>8</v>
      </c>
      <c r="C38" s="25" t="s">
        <v>989</v>
      </c>
      <c r="D38" s="42"/>
      <c r="E38" s="42"/>
      <c r="F38" s="42" t="s">
        <v>978</v>
      </c>
      <c r="G38" s="42" t="s">
        <v>977</v>
      </c>
      <c r="H38" s="42">
        <v>123232</v>
      </c>
      <c r="I38" s="313" t="s">
        <v>1526</v>
      </c>
      <c r="J38" s="69" t="s">
        <v>12</v>
      </c>
      <c r="K38" s="113">
        <v>1.6</v>
      </c>
      <c r="L38" s="41"/>
      <c r="M38" s="28">
        <f>13098-11503</f>
        <v>1595</v>
      </c>
      <c r="N38" s="28">
        <f>54988-48259</f>
        <v>6729</v>
      </c>
      <c r="O38" s="28">
        <f t="shared" si="2"/>
        <v>8324</v>
      </c>
      <c r="P38" s="41"/>
      <c r="Q38" s="28">
        <f>13098-11503</f>
        <v>1595</v>
      </c>
      <c r="R38" s="28">
        <f>54988-48259</f>
        <v>6729</v>
      </c>
      <c r="S38" s="28">
        <f t="shared" si="3"/>
        <v>8324</v>
      </c>
      <c r="T38" s="41"/>
      <c r="U38" s="24">
        <f t="shared" si="0"/>
        <v>3190</v>
      </c>
      <c r="V38" s="24">
        <f t="shared" si="1"/>
        <v>13458</v>
      </c>
      <c r="W38" s="28">
        <f t="shared" si="4"/>
        <v>16648</v>
      </c>
    </row>
    <row r="39" spans="1:23" ht="29.25">
      <c r="A39" s="233" t="s">
        <v>7</v>
      </c>
      <c r="B39" s="25" t="s">
        <v>8</v>
      </c>
      <c r="C39" s="25" t="s">
        <v>1009</v>
      </c>
      <c r="D39" s="42"/>
      <c r="E39" s="42">
        <v>11</v>
      </c>
      <c r="F39" s="42" t="s">
        <v>978</v>
      </c>
      <c r="G39" s="42" t="s">
        <v>977</v>
      </c>
      <c r="H39" s="42">
        <v>122819</v>
      </c>
      <c r="I39" s="313" t="s">
        <v>1536</v>
      </c>
      <c r="J39" s="69" t="s">
        <v>12</v>
      </c>
      <c r="K39" s="113">
        <v>2.4</v>
      </c>
      <c r="L39" s="41"/>
      <c r="M39" s="28">
        <f>6767-6551</f>
        <v>216</v>
      </c>
      <c r="N39" s="28">
        <f>28949-27070</f>
        <v>1879</v>
      </c>
      <c r="O39" s="28">
        <f t="shared" si="2"/>
        <v>2095</v>
      </c>
      <c r="P39" s="41"/>
      <c r="Q39" s="28">
        <f>6767-6551</f>
        <v>216</v>
      </c>
      <c r="R39" s="28">
        <f>28949-27070</f>
        <v>1879</v>
      </c>
      <c r="S39" s="28">
        <f t="shared" si="3"/>
        <v>2095</v>
      </c>
      <c r="T39" s="41"/>
      <c r="U39" s="24">
        <f t="shared" si="0"/>
        <v>432</v>
      </c>
      <c r="V39" s="24">
        <f t="shared" si="1"/>
        <v>3758</v>
      </c>
      <c r="W39" s="28">
        <f t="shared" si="4"/>
        <v>4190</v>
      </c>
    </row>
    <row r="40" spans="1:23" ht="29.25">
      <c r="A40" s="233" t="s">
        <v>7</v>
      </c>
      <c r="B40" s="25" t="s">
        <v>8</v>
      </c>
      <c r="C40" s="25" t="s">
        <v>1004</v>
      </c>
      <c r="D40" s="42"/>
      <c r="E40" s="42"/>
      <c r="F40" s="42" t="s">
        <v>978</v>
      </c>
      <c r="G40" s="42" t="s">
        <v>977</v>
      </c>
      <c r="H40" s="42">
        <v>122816</v>
      </c>
      <c r="I40" s="313" t="s">
        <v>1545</v>
      </c>
      <c r="J40" s="69" t="s">
        <v>12</v>
      </c>
      <c r="K40" s="113">
        <v>1.4</v>
      </c>
      <c r="L40" s="41"/>
      <c r="M40" s="28">
        <f>5775-4882</f>
        <v>893</v>
      </c>
      <c r="N40" s="28">
        <f>23629-19861</f>
        <v>3768</v>
      </c>
      <c r="O40" s="28">
        <f t="shared" si="2"/>
        <v>4661</v>
      </c>
      <c r="P40" s="41"/>
      <c r="Q40" s="28">
        <f>5775-4882</f>
        <v>893</v>
      </c>
      <c r="R40" s="28">
        <f>23629-19861</f>
        <v>3768</v>
      </c>
      <c r="S40" s="28">
        <f t="shared" si="3"/>
        <v>4661</v>
      </c>
      <c r="T40" s="41"/>
      <c r="U40" s="24">
        <f t="shared" si="0"/>
        <v>1786</v>
      </c>
      <c r="V40" s="24">
        <f t="shared" si="1"/>
        <v>7536</v>
      </c>
      <c r="W40" s="28">
        <f t="shared" si="4"/>
        <v>9322</v>
      </c>
    </row>
    <row r="41" spans="1:23" ht="29.25">
      <c r="A41" s="233" t="s">
        <v>7</v>
      </c>
      <c r="B41" s="25" t="s">
        <v>8</v>
      </c>
      <c r="C41" s="25" t="s">
        <v>993</v>
      </c>
      <c r="D41" s="42"/>
      <c r="E41" s="42">
        <v>6</v>
      </c>
      <c r="F41" s="42" t="s">
        <v>978</v>
      </c>
      <c r="G41" s="42" t="s">
        <v>977</v>
      </c>
      <c r="H41" s="42">
        <v>118476</v>
      </c>
      <c r="I41" s="313" t="s">
        <v>1530</v>
      </c>
      <c r="J41" s="69" t="s">
        <v>12</v>
      </c>
      <c r="K41" s="113">
        <v>2.2</v>
      </c>
      <c r="L41" s="41"/>
      <c r="M41" s="28">
        <f>8082-7073</f>
        <v>1009</v>
      </c>
      <c r="N41" s="28">
        <f>33655-29404</f>
        <v>4251</v>
      </c>
      <c r="O41" s="28">
        <f t="shared" si="2"/>
        <v>5260</v>
      </c>
      <c r="P41" s="41"/>
      <c r="Q41" s="28">
        <f>8082-7073</f>
        <v>1009</v>
      </c>
      <c r="R41" s="28">
        <f>33655-29404</f>
        <v>4251</v>
      </c>
      <c r="S41" s="28">
        <f t="shared" si="3"/>
        <v>5260</v>
      </c>
      <c r="T41" s="41"/>
      <c r="U41" s="24">
        <f t="shared" si="0"/>
        <v>2018</v>
      </c>
      <c r="V41" s="24">
        <f t="shared" si="1"/>
        <v>8502</v>
      </c>
      <c r="W41" s="28">
        <f t="shared" si="4"/>
        <v>10520</v>
      </c>
    </row>
    <row r="42" spans="1:23" ht="29.25">
      <c r="A42" s="233" t="s">
        <v>7</v>
      </c>
      <c r="B42" s="25" t="s">
        <v>8</v>
      </c>
      <c r="C42" s="25" t="s">
        <v>1002</v>
      </c>
      <c r="D42" s="42"/>
      <c r="E42" s="42"/>
      <c r="F42" s="42" t="s">
        <v>978</v>
      </c>
      <c r="G42" s="42" t="s">
        <v>977</v>
      </c>
      <c r="H42" s="42">
        <v>122815</v>
      </c>
      <c r="I42" s="302" t="s">
        <v>1543</v>
      </c>
      <c r="J42" s="69" t="s">
        <v>12</v>
      </c>
      <c r="K42" s="113">
        <v>1.2</v>
      </c>
      <c r="L42" s="41"/>
      <c r="M42" s="28">
        <f>10630-9157</f>
        <v>1473</v>
      </c>
      <c r="N42" s="28">
        <f>40999-35506</f>
        <v>5493</v>
      </c>
      <c r="O42" s="28">
        <f t="shared" si="2"/>
        <v>6966</v>
      </c>
      <c r="P42" s="41"/>
      <c r="Q42" s="28">
        <f>10630-9157</f>
        <v>1473</v>
      </c>
      <c r="R42" s="28">
        <f>40999-35506</f>
        <v>5493</v>
      </c>
      <c r="S42" s="28">
        <f t="shared" si="3"/>
        <v>6966</v>
      </c>
      <c r="T42" s="41"/>
      <c r="U42" s="24">
        <f t="shared" si="0"/>
        <v>2946</v>
      </c>
      <c r="V42" s="24">
        <f t="shared" si="1"/>
        <v>10986</v>
      </c>
      <c r="W42" s="28">
        <f t="shared" si="4"/>
        <v>13932</v>
      </c>
    </row>
    <row r="43" spans="1:23" ht="29.25">
      <c r="A43" s="233" t="s">
        <v>7</v>
      </c>
      <c r="B43" s="25" t="s">
        <v>8</v>
      </c>
      <c r="C43" s="25" t="s">
        <v>1000</v>
      </c>
      <c r="D43" s="42"/>
      <c r="E43" s="42"/>
      <c r="F43" s="42" t="s">
        <v>978</v>
      </c>
      <c r="G43" s="42" t="s">
        <v>977</v>
      </c>
      <c r="H43" s="42">
        <v>122810</v>
      </c>
      <c r="I43" s="313" t="s">
        <v>1540</v>
      </c>
      <c r="J43" s="69" t="s">
        <v>12</v>
      </c>
      <c r="K43" s="113">
        <v>0.9</v>
      </c>
      <c r="L43" s="41"/>
      <c r="M43" s="28">
        <f>2952-2524</f>
        <v>428</v>
      </c>
      <c r="N43" s="28">
        <f>11755-10113</f>
        <v>1642</v>
      </c>
      <c r="O43" s="28">
        <f t="shared" si="2"/>
        <v>2070</v>
      </c>
      <c r="P43" s="41"/>
      <c r="Q43" s="28">
        <f>2952-2524</f>
        <v>428</v>
      </c>
      <c r="R43" s="28">
        <f>11755-10113</f>
        <v>1642</v>
      </c>
      <c r="S43" s="28">
        <f t="shared" si="3"/>
        <v>2070</v>
      </c>
      <c r="T43" s="41"/>
      <c r="U43" s="24">
        <f t="shared" si="0"/>
        <v>856</v>
      </c>
      <c r="V43" s="24">
        <f t="shared" si="1"/>
        <v>3284</v>
      </c>
      <c r="W43" s="28">
        <f t="shared" si="4"/>
        <v>4140</v>
      </c>
    </row>
    <row r="44" spans="1:23" ht="29.25">
      <c r="A44" s="233" t="s">
        <v>7</v>
      </c>
      <c r="B44" s="25" t="s">
        <v>8</v>
      </c>
      <c r="C44" s="25" t="s">
        <v>1000</v>
      </c>
      <c r="D44" s="42"/>
      <c r="E44" s="42"/>
      <c r="F44" s="42" t="s">
        <v>978</v>
      </c>
      <c r="G44" s="42" t="s">
        <v>977</v>
      </c>
      <c r="H44" s="42">
        <v>93352494</v>
      </c>
      <c r="I44" s="313" t="s">
        <v>1539</v>
      </c>
      <c r="J44" s="69" t="s">
        <v>12</v>
      </c>
      <c r="K44" s="113">
        <v>3.8</v>
      </c>
      <c r="L44" s="41"/>
      <c r="M44" s="28">
        <f>5626-3788</f>
        <v>1838</v>
      </c>
      <c r="N44" s="28">
        <f>22228-14338</f>
        <v>7890</v>
      </c>
      <c r="O44" s="28">
        <f t="shared" si="2"/>
        <v>9728</v>
      </c>
      <c r="P44" s="41"/>
      <c r="Q44" s="28">
        <f>5626-3788</f>
        <v>1838</v>
      </c>
      <c r="R44" s="28">
        <f>22228-14338</f>
        <v>7890</v>
      </c>
      <c r="S44" s="28">
        <f t="shared" si="3"/>
        <v>9728</v>
      </c>
      <c r="T44" s="41"/>
      <c r="U44" s="24">
        <f t="shared" si="0"/>
        <v>3676</v>
      </c>
      <c r="V44" s="24">
        <f t="shared" si="1"/>
        <v>15780</v>
      </c>
      <c r="W44" s="28">
        <f t="shared" si="4"/>
        <v>19456</v>
      </c>
    </row>
    <row r="45" spans="1:23" ht="29.25">
      <c r="A45" s="233" t="s">
        <v>7</v>
      </c>
      <c r="B45" s="25" t="s">
        <v>8</v>
      </c>
      <c r="C45" s="25" t="s">
        <v>999</v>
      </c>
      <c r="D45" s="42"/>
      <c r="E45" s="42"/>
      <c r="F45" s="42" t="s">
        <v>978</v>
      </c>
      <c r="G45" s="42" t="s">
        <v>977</v>
      </c>
      <c r="H45" s="42">
        <v>93020804</v>
      </c>
      <c r="I45" s="302" t="s">
        <v>1538</v>
      </c>
      <c r="J45" s="69" t="s">
        <v>12</v>
      </c>
      <c r="K45" s="113">
        <v>3.1</v>
      </c>
      <c r="L45" s="41"/>
      <c r="M45" s="28">
        <f>3905-2068</f>
        <v>1837</v>
      </c>
      <c r="N45" s="28">
        <f>17322-9368</f>
        <v>7954</v>
      </c>
      <c r="O45" s="28">
        <f t="shared" si="2"/>
        <v>9791</v>
      </c>
      <c r="P45" s="41"/>
      <c r="Q45" s="28">
        <f>3905-2068</f>
        <v>1837</v>
      </c>
      <c r="R45" s="28">
        <f>17322-9368</f>
        <v>7954</v>
      </c>
      <c r="S45" s="28">
        <f t="shared" si="3"/>
        <v>9791</v>
      </c>
      <c r="T45" s="41"/>
      <c r="U45" s="24">
        <f t="shared" si="0"/>
        <v>3674</v>
      </c>
      <c r="V45" s="24">
        <f t="shared" si="1"/>
        <v>15908</v>
      </c>
      <c r="W45" s="28">
        <f t="shared" si="4"/>
        <v>19582</v>
      </c>
    </row>
    <row r="46" spans="1:23" ht="29.25">
      <c r="A46" s="233" t="s">
        <v>7</v>
      </c>
      <c r="B46" s="25" t="s">
        <v>8</v>
      </c>
      <c r="C46" s="25" t="s">
        <v>1001</v>
      </c>
      <c r="D46" s="42"/>
      <c r="E46" s="42"/>
      <c r="F46" s="42" t="s">
        <v>978</v>
      </c>
      <c r="G46" s="42" t="s">
        <v>977</v>
      </c>
      <c r="H46" s="42">
        <v>110526</v>
      </c>
      <c r="I46" s="313" t="s">
        <v>1542</v>
      </c>
      <c r="J46" s="69" t="s">
        <v>12</v>
      </c>
      <c r="K46" s="113">
        <v>0.8</v>
      </c>
      <c r="L46" s="41"/>
      <c r="M46" s="28">
        <f>2572-2305</f>
        <v>267</v>
      </c>
      <c r="N46" s="28">
        <f>12670-11016</f>
        <v>1654</v>
      </c>
      <c r="O46" s="28">
        <f t="shared" si="2"/>
        <v>1921</v>
      </c>
      <c r="P46" s="41"/>
      <c r="Q46" s="28">
        <f>2572-2305</f>
        <v>267</v>
      </c>
      <c r="R46" s="28">
        <f>12670-11016</f>
        <v>1654</v>
      </c>
      <c r="S46" s="28">
        <f t="shared" si="3"/>
        <v>1921</v>
      </c>
      <c r="T46" s="41"/>
      <c r="U46" s="24">
        <f t="shared" si="0"/>
        <v>534</v>
      </c>
      <c r="V46" s="24">
        <f t="shared" si="1"/>
        <v>3308</v>
      </c>
      <c r="W46" s="28">
        <f t="shared" si="4"/>
        <v>3842</v>
      </c>
    </row>
    <row r="47" spans="1:23" ht="29.25">
      <c r="A47" s="233" t="s">
        <v>7</v>
      </c>
      <c r="B47" s="25" t="s">
        <v>8</v>
      </c>
      <c r="C47" s="25" t="s">
        <v>1006</v>
      </c>
      <c r="D47" s="42"/>
      <c r="E47" s="42"/>
      <c r="F47" s="42" t="s">
        <v>978</v>
      </c>
      <c r="G47" s="42" t="s">
        <v>977</v>
      </c>
      <c r="H47" s="42">
        <v>111718</v>
      </c>
      <c r="I47" s="313" t="s">
        <v>1547</v>
      </c>
      <c r="J47" s="69" t="s">
        <v>12</v>
      </c>
      <c r="K47" s="113">
        <v>1.1</v>
      </c>
      <c r="L47" s="41"/>
      <c r="M47" s="28">
        <f>4645-3883</f>
        <v>762</v>
      </c>
      <c r="N47" s="28">
        <f>21127-17469</f>
        <v>3658</v>
      </c>
      <c r="O47" s="28">
        <f t="shared" si="2"/>
        <v>4420</v>
      </c>
      <c r="P47" s="41"/>
      <c r="Q47" s="28">
        <f>4645-3883</f>
        <v>762</v>
      </c>
      <c r="R47" s="28">
        <f>21127-17469</f>
        <v>3658</v>
      </c>
      <c r="S47" s="28">
        <f t="shared" si="3"/>
        <v>4420</v>
      </c>
      <c r="T47" s="41"/>
      <c r="U47" s="24">
        <f t="shared" si="0"/>
        <v>1524</v>
      </c>
      <c r="V47" s="24">
        <f t="shared" si="1"/>
        <v>7316</v>
      </c>
      <c r="W47" s="28">
        <f t="shared" si="4"/>
        <v>8840</v>
      </c>
    </row>
    <row r="48" spans="1:23" ht="29.25">
      <c r="A48" s="233" t="s">
        <v>7</v>
      </c>
      <c r="B48" s="25" t="s">
        <v>8</v>
      </c>
      <c r="C48" s="25" t="s">
        <v>1005</v>
      </c>
      <c r="D48" s="42"/>
      <c r="E48" s="42"/>
      <c r="F48" s="42" t="s">
        <v>978</v>
      </c>
      <c r="G48" s="42" t="s">
        <v>977</v>
      </c>
      <c r="H48" s="42">
        <v>122813</v>
      </c>
      <c r="I48" s="302" t="s">
        <v>1546</v>
      </c>
      <c r="J48" s="69" t="s">
        <v>12</v>
      </c>
      <c r="K48" s="113">
        <v>2.2</v>
      </c>
      <c r="L48" s="41"/>
      <c r="M48" s="28">
        <f>6097-5265</f>
        <v>832</v>
      </c>
      <c r="N48" s="28">
        <f>25989-22152</f>
        <v>3837</v>
      </c>
      <c r="O48" s="28">
        <f t="shared" si="2"/>
        <v>4669</v>
      </c>
      <c r="P48" s="41"/>
      <c r="Q48" s="28">
        <f>6097-5265</f>
        <v>832</v>
      </c>
      <c r="R48" s="28">
        <f>25989-22152</f>
        <v>3837</v>
      </c>
      <c r="S48" s="28">
        <f t="shared" si="3"/>
        <v>4669</v>
      </c>
      <c r="T48" s="41"/>
      <c r="U48" s="24">
        <f t="shared" si="0"/>
        <v>1664</v>
      </c>
      <c r="V48" s="24">
        <f t="shared" si="1"/>
        <v>7674</v>
      </c>
      <c r="W48" s="28">
        <f t="shared" si="4"/>
        <v>9338</v>
      </c>
    </row>
    <row r="49" spans="1:23" ht="29.25">
      <c r="A49" s="233" t="s">
        <v>7</v>
      </c>
      <c r="B49" s="25" t="s">
        <v>8</v>
      </c>
      <c r="C49" s="25" t="s">
        <v>1007</v>
      </c>
      <c r="D49" s="42"/>
      <c r="E49" s="42"/>
      <c r="F49" s="42" t="s">
        <v>978</v>
      </c>
      <c r="G49" s="42" t="s">
        <v>977</v>
      </c>
      <c r="H49" s="42">
        <v>122812</v>
      </c>
      <c r="I49" s="313" t="s">
        <v>1549</v>
      </c>
      <c r="J49" s="69" t="s">
        <v>12</v>
      </c>
      <c r="K49" s="113">
        <v>1.8</v>
      </c>
      <c r="L49" s="41"/>
      <c r="M49" s="28">
        <f>2757-2453</f>
        <v>304</v>
      </c>
      <c r="N49" s="28">
        <f>11219-9564</f>
        <v>1655</v>
      </c>
      <c r="O49" s="28">
        <f t="shared" si="2"/>
        <v>1959</v>
      </c>
      <c r="P49" s="41"/>
      <c r="Q49" s="28">
        <f>2757-2453</f>
        <v>304</v>
      </c>
      <c r="R49" s="28">
        <f>11219-9564</f>
        <v>1655</v>
      </c>
      <c r="S49" s="28">
        <f t="shared" si="3"/>
        <v>1959</v>
      </c>
      <c r="T49" s="41"/>
      <c r="U49" s="24">
        <f t="shared" si="0"/>
        <v>608</v>
      </c>
      <c r="V49" s="24">
        <f t="shared" si="1"/>
        <v>3310</v>
      </c>
      <c r="W49" s="28">
        <f t="shared" si="4"/>
        <v>3918</v>
      </c>
    </row>
    <row r="50" spans="1:23" ht="29.25">
      <c r="A50" s="233" t="s">
        <v>7</v>
      </c>
      <c r="B50" s="25" t="s">
        <v>8</v>
      </c>
      <c r="C50" s="25" t="s">
        <v>992</v>
      </c>
      <c r="D50" s="42"/>
      <c r="E50" s="42">
        <v>59</v>
      </c>
      <c r="F50" s="42" t="s">
        <v>978</v>
      </c>
      <c r="G50" s="42" t="s">
        <v>977</v>
      </c>
      <c r="H50" s="42">
        <v>118479</v>
      </c>
      <c r="I50" s="313" t="s">
        <v>1529</v>
      </c>
      <c r="J50" s="69" t="s">
        <v>12</v>
      </c>
      <c r="K50" s="113">
        <v>4.2</v>
      </c>
      <c r="L50" s="41"/>
      <c r="M50" s="28">
        <f>29111-25462</f>
        <v>3649</v>
      </c>
      <c r="N50" s="28">
        <f>121788-106510</f>
        <v>15278</v>
      </c>
      <c r="O50" s="28">
        <f t="shared" si="2"/>
        <v>18927</v>
      </c>
      <c r="P50" s="41"/>
      <c r="Q50" s="28">
        <f>29111-25462</f>
        <v>3649</v>
      </c>
      <c r="R50" s="28">
        <f>121788-106510</f>
        <v>15278</v>
      </c>
      <c r="S50" s="28">
        <f t="shared" si="3"/>
        <v>18927</v>
      </c>
      <c r="T50" s="41"/>
      <c r="U50" s="24">
        <f t="shared" si="0"/>
        <v>7298</v>
      </c>
      <c r="V50" s="24">
        <f t="shared" si="1"/>
        <v>30556</v>
      </c>
      <c r="W50" s="28">
        <f t="shared" si="4"/>
        <v>37854</v>
      </c>
    </row>
    <row r="51" spans="1:23" ht="29.25">
      <c r="A51" s="233" t="s">
        <v>7</v>
      </c>
      <c r="B51" s="25" t="s">
        <v>8</v>
      </c>
      <c r="C51" s="25" t="s">
        <v>996</v>
      </c>
      <c r="D51" s="42"/>
      <c r="E51" s="42"/>
      <c r="F51" s="42" t="s">
        <v>978</v>
      </c>
      <c r="G51" s="42" t="s">
        <v>977</v>
      </c>
      <c r="H51" s="42">
        <v>123235</v>
      </c>
      <c r="I51" s="302" t="s">
        <v>1534</v>
      </c>
      <c r="J51" s="69" t="s">
        <v>12</v>
      </c>
      <c r="K51" s="113">
        <v>2.8</v>
      </c>
      <c r="L51" s="41"/>
      <c r="M51" s="28">
        <f>9645-8500</f>
        <v>1145</v>
      </c>
      <c r="N51" s="28">
        <f>40055-35466</f>
        <v>4589</v>
      </c>
      <c r="O51" s="28">
        <f t="shared" si="2"/>
        <v>5734</v>
      </c>
      <c r="P51" s="41"/>
      <c r="Q51" s="28">
        <f>9645-8500</f>
        <v>1145</v>
      </c>
      <c r="R51" s="28">
        <f>40055-35466</f>
        <v>4589</v>
      </c>
      <c r="S51" s="28">
        <f t="shared" si="3"/>
        <v>5734</v>
      </c>
      <c r="T51" s="41"/>
      <c r="U51" s="24">
        <f t="shared" si="0"/>
        <v>2290</v>
      </c>
      <c r="V51" s="24">
        <f t="shared" si="1"/>
        <v>9178</v>
      </c>
      <c r="W51" s="28">
        <f t="shared" si="4"/>
        <v>11468</v>
      </c>
    </row>
    <row r="52" spans="1:23" ht="29.25">
      <c r="A52" s="233" t="s">
        <v>7</v>
      </c>
      <c r="B52" s="25" t="s">
        <v>8</v>
      </c>
      <c r="C52" s="25" t="s">
        <v>991</v>
      </c>
      <c r="D52" s="42"/>
      <c r="E52" s="42">
        <v>32</v>
      </c>
      <c r="F52" s="42" t="s">
        <v>978</v>
      </c>
      <c r="G52" s="42" t="s">
        <v>977</v>
      </c>
      <c r="H52" s="42">
        <v>123238</v>
      </c>
      <c r="I52" s="313" t="s">
        <v>1551</v>
      </c>
      <c r="J52" s="69" t="s">
        <v>12</v>
      </c>
      <c r="K52" s="113">
        <v>1.5</v>
      </c>
      <c r="L52" s="41"/>
      <c r="M52" s="28">
        <f>9876-8419</f>
        <v>1457</v>
      </c>
      <c r="N52" s="28">
        <f>43110-36654</f>
        <v>6456</v>
      </c>
      <c r="O52" s="28">
        <f t="shared" si="2"/>
        <v>7913</v>
      </c>
      <c r="P52" s="41"/>
      <c r="Q52" s="28">
        <f>9876-8419</f>
        <v>1457</v>
      </c>
      <c r="R52" s="28">
        <f>43110-36654</f>
        <v>6456</v>
      </c>
      <c r="S52" s="28">
        <f t="shared" si="3"/>
        <v>7913</v>
      </c>
      <c r="T52" s="41"/>
      <c r="U52" s="24">
        <f t="shared" si="0"/>
        <v>2914</v>
      </c>
      <c r="V52" s="24">
        <f t="shared" si="1"/>
        <v>12912</v>
      </c>
      <c r="W52" s="28">
        <f t="shared" si="4"/>
        <v>15826</v>
      </c>
    </row>
    <row r="53" spans="1:23" ht="29.25">
      <c r="A53" s="233" t="s">
        <v>7</v>
      </c>
      <c r="B53" s="25" t="s">
        <v>8</v>
      </c>
      <c r="C53" s="25" t="s">
        <v>994</v>
      </c>
      <c r="D53" s="42"/>
      <c r="E53" s="42">
        <v>27</v>
      </c>
      <c r="F53" s="42" t="s">
        <v>978</v>
      </c>
      <c r="G53" s="42" t="s">
        <v>977</v>
      </c>
      <c r="H53" s="42">
        <v>123236</v>
      </c>
      <c r="I53" s="313" t="s">
        <v>1532</v>
      </c>
      <c r="J53" s="69" t="s">
        <v>12</v>
      </c>
      <c r="K53" s="113">
        <v>2.2</v>
      </c>
      <c r="L53" s="41"/>
      <c r="M53" s="28">
        <f>7530-6506</f>
        <v>1024</v>
      </c>
      <c r="N53" s="28">
        <f>31789-27253</f>
        <v>4536</v>
      </c>
      <c r="O53" s="28">
        <f t="shared" si="2"/>
        <v>5560</v>
      </c>
      <c r="P53" s="41"/>
      <c r="Q53" s="28">
        <f>7530-6506</f>
        <v>1024</v>
      </c>
      <c r="R53" s="28">
        <f>31789-27253</f>
        <v>4536</v>
      </c>
      <c r="S53" s="28">
        <f t="shared" si="3"/>
        <v>5560</v>
      </c>
      <c r="T53" s="41"/>
      <c r="U53" s="24">
        <f t="shared" si="0"/>
        <v>2048</v>
      </c>
      <c r="V53" s="24">
        <f t="shared" si="1"/>
        <v>9072</v>
      </c>
      <c r="W53" s="28">
        <f t="shared" si="4"/>
        <v>11120</v>
      </c>
    </row>
    <row r="54" spans="1:23" ht="29.25">
      <c r="A54" s="233" t="s">
        <v>7</v>
      </c>
      <c r="B54" s="25" t="s">
        <v>8</v>
      </c>
      <c r="C54" s="25" t="s">
        <v>977</v>
      </c>
      <c r="D54" s="42" t="s">
        <v>308</v>
      </c>
      <c r="E54" s="42"/>
      <c r="F54" s="42" t="s">
        <v>978</v>
      </c>
      <c r="G54" s="42" t="s">
        <v>977</v>
      </c>
      <c r="H54" s="42">
        <v>96009232</v>
      </c>
      <c r="I54" s="302" t="s">
        <v>1518</v>
      </c>
      <c r="J54" s="69" t="s">
        <v>12</v>
      </c>
      <c r="K54" s="113">
        <v>7</v>
      </c>
      <c r="L54" s="41"/>
      <c r="M54" s="28">
        <f>19200-16607</f>
        <v>2593</v>
      </c>
      <c r="N54" s="28">
        <f>99700-84927</f>
        <v>14773</v>
      </c>
      <c r="O54" s="28">
        <f t="shared" si="2"/>
        <v>17366</v>
      </c>
      <c r="P54" s="41"/>
      <c r="Q54" s="28">
        <f>19200-16607</f>
        <v>2593</v>
      </c>
      <c r="R54" s="28">
        <f>99700-84927</f>
        <v>14773</v>
      </c>
      <c r="S54" s="28">
        <f t="shared" si="3"/>
        <v>17366</v>
      </c>
      <c r="T54" s="41"/>
      <c r="U54" s="24">
        <f t="shared" si="0"/>
        <v>5186</v>
      </c>
      <c r="V54" s="24">
        <f t="shared" si="1"/>
        <v>29546</v>
      </c>
      <c r="W54" s="28">
        <f t="shared" si="4"/>
        <v>34732</v>
      </c>
    </row>
    <row r="55" spans="1:23" ht="29.25">
      <c r="A55" s="233" t="s">
        <v>7</v>
      </c>
      <c r="B55" s="25" t="s">
        <v>8</v>
      </c>
      <c r="C55" s="25" t="s">
        <v>995</v>
      </c>
      <c r="D55" s="42"/>
      <c r="E55" s="42"/>
      <c r="F55" s="42" t="s">
        <v>978</v>
      </c>
      <c r="G55" s="42" t="s">
        <v>977</v>
      </c>
      <c r="H55" s="42">
        <v>123230</v>
      </c>
      <c r="I55" s="313" t="s">
        <v>1533</v>
      </c>
      <c r="J55" s="69" t="s">
        <v>12</v>
      </c>
      <c r="K55" s="113">
        <v>1.5</v>
      </c>
      <c r="L55" s="41"/>
      <c r="M55" s="28">
        <f>9927-8677</f>
        <v>1250</v>
      </c>
      <c r="N55" s="28">
        <f>41588-35929</f>
        <v>5659</v>
      </c>
      <c r="O55" s="28">
        <f t="shared" si="2"/>
        <v>6909</v>
      </c>
      <c r="P55" s="41"/>
      <c r="Q55" s="28">
        <f>9927-8677</f>
        <v>1250</v>
      </c>
      <c r="R55" s="28">
        <f>41588-35929</f>
        <v>5659</v>
      </c>
      <c r="S55" s="28">
        <f t="shared" si="3"/>
        <v>6909</v>
      </c>
      <c r="T55" s="41"/>
      <c r="U55" s="24">
        <f t="shared" si="0"/>
        <v>2500</v>
      </c>
      <c r="V55" s="24">
        <f t="shared" si="1"/>
        <v>11318</v>
      </c>
      <c r="W55" s="28">
        <f t="shared" si="4"/>
        <v>13818</v>
      </c>
    </row>
    <row r="56" spans="1:23" ht="29.25">
      <c r="A56" s="233" t="s">
        <v>7</v>
      </c>
      <c r="B56" s="25" t="s">
        <v>8</v>
      </c>
      <c r="C56" s="25" t="s">
        <v>997</v>
      </c>
      <c r="D56" s="42"/>
      <c r="E56" s="42"/>
      <c r="F56" s="42" t="s">
        <v>978</v>
      </c>
      <c r="G56" s="42" t="s">
        <v>977</v>
      </c>
      <c r="H56" s="42">
        <v>123234</v>
      </c>
      <c r="I56" s="313" t="s">
        <v>1535</v>
      </c>
      <c r="J56" s="69" t="s">
        <v>12</v>
      </c>
      <c r="K56" s="113">
        <v>1.7</v>
      </c>
      <c r="L56" s="41"/>
      <c r="M56" s="28">
        <f>4162-3515</f>
        <v>647</v>
      </c>
      <c r="N56" s="28">
        <f>18299-15441</f>
        <v>2858</v>
      </c>
      <c r="O56" s="28">
        <f t="shared" si="2"/>
        <v>3505</v>
      </c>
      <c r="P56" s="41"/>
      <c r="Q56" s="28">
        <f>4162-3515</f>
        <v>647</v>
      </c>
      <c r="R56" s="28">
        <f>18299-15441</f>
        <v>2858</v>
      </c>
      <c r="S56" s="28">
        <f t="shared" si="3"/>
        <v>3505</v>
      </c>
      <c r="T56" s="41"/>
      <c r="U56" s="24">
        <f t="shared" si="0"/>
        <v>1294</v>
      </c>
      <c r="V56" s="24">
        <f t="shared" si="1"/>
        <v>5716</v>
      </c>
      <c r="W56" s="28">
        <f t="shared" si="4"/>
        <v>7010</v>
      </c>
    </row>
    <row r="57" spans="1:23" ht="29.25">
      <c r="A57" s="233" t="s">
        <v>7</v>
      </c>
      <c r="B57" s="25" t="s">
        <v>8</v>
      </c>
      <c r="C57" s="25" t="s">
        <v>994</v>
      </c>
      <c r="D57" s="42"/>
      <c r="E57" s="42"/>
      <c r="F57" s="42" t="s">
        <v>978</v>
      </c>
      <c r="G57" s="42" t="s">
        <v>977</v>
      </c>
      <c r="H57" s="42">
        <v>123231</v>
      </c>
      <c r="I57" s="302" t="s">
        <v>1531</v>
      </c>
      <c r="J57" s="69" t="s">
        <v>12</v>
      </c>
      <c r="K57" s="113">
        <v>2.2</v>
      </c>
      <c r="L57" s="41"/>
      <c r="M57" s="28">
        <f>6170-5264</f>
        <v>906</v>
      </c>
      <c r="N57" s="28">
        <f>22887-20753</f>
        <v>2134</v>
      </c>
      <c r="O57" s="28">
        <f t="shared" si="2"/>
        <v>3040</v>
      </c>
      <c r="P57" s="41"/>
      <c r="Q57" s="28">
        <f>6170-5264</f>
        <v>906</v>
      </c>
      <c r="R57" s="28">
        <f>22887-20753</f>
        <v>2134</v>
      </c>
      <c r="S57" s="28">
        <f t="shared" si="3"/>
        <v>3040</v>
      </c>
      <c r="T57" s="41"/>
      <c r="U57" s="24">
        <f t="shared" si="0"/>
        <v>1812</v>
      </c>
      <c r="V57" s="24">
        <f t="shared" si="1"/>
        <v>4268</v>
      </c>
      <c r="W57" s="28">
        <f t="shared" si="4"/>
        <v>6080</v>
      </c>
    </row>
    <row r="58" spans="1:23" ht="29.25">
      <c r="A58" s="233" t="s">
        <v>7</v>
      </c>
      <c r="B58" s="25" t="s">
        <v>8</v>
      </c>
      <c r="C58" s="25" t="s">
        <v>988</v>
      </c>
      <c r="D58" s="42"/>
      <c r="E58" s="42"/>
      <c r="F58" s="42" t="s">
        <v>978</v>
      </c>
      <c r="G58" s="42" t="s">
        <v>977</v>
      </c>
      <c r="H58" s="42">
        <v>123233</v>
      </c>
      <c r="I58" s="313" t="s">
        <v>1524</v>
      </c>
      <c r="J58" s="69" t="s">
        <v>12</v>
      </c>
      <c r="K58" s="113">
        <v>3.2</v>
      </c>
      <c r="L58" s="41"/>
      <c r="M58" s="28">
        <f>13900-11741</f>
        <v>2159</v>
      </c>
      <c r="N58" s="28">
        <f>58679-51208</f>
        <v>7471</v>
      </c>
      <c r="O58" s="28">
        <f t="shared" si="2"/>
        <v>9630</v>
      </c>
      <c r="P58" s="41"/>
      <c r="Q58" s="28">
        <f>13900-11741</f>
        <v>2159</v>
      </c>
      <c r="R58" s="28">
        <f>58679-51208</f>
        <v>7471</v>
      </c>
      <c r="S58" s="28">
        <f t="shared" si="3"/>
        <v>9630</v>
      </c>
      <c r="T58" s="41"/>
      <c r="U58" s="24">
        <f t="shared" si="0"/>
        <v>4318</v>
      </c>
      <c r="V58" s="24">
        <f t="shared" si="1"/>
        <v>14942</v>
      </c>
      <c r="W58" s="28">
        <f t="shared" si="4"/>
        <v>19260</v>
      </c>
    </row>
    <row r="59" spans="1:23" ht="29.25">
      <c r="A59" s="233" t="s">
        <v>7</v>
      </c>
      <c r="B59" s="25" t="s">
        <v>8</v>
      </c>
      <c r="C59" s="25" t="s">
        <v>1001</v>
      </c>
      <c r="D59" s="42" t="s">
        <v>1673</v>
      </c>
      <c r="E59" s="42"/>
      <c r="F59" s="42" t="s">
        <v>978</v>
      </c>
      <c r="G59" s="42" t="s">
        <v>977</v>
      </c>
      <c r="H59" s="42">
        <v>122811</v>
      </c>
      <c r="I59" s="313" t="s">
        <v>1541</v>
      </c>
      <c r="J59" s="69" t="s">
        <v>12</v>
      </c>
      <c r="K59" s="113">
        <v>1.2</v>
      </c>
      <c r="L59" s="41"/>
      <c r="M59" s="28">
        <f>6410-5506</f>
        <v>904</v>
      </c>
      <c r="N59" s="28">
        <f>26459-22564</f>
        <v>3895</v>
      </c>
      <c r="O59" s="28">
        <f t="shared" si="2"/>
        <v>4799</v>
      </c>
      <c r="P59" s="41"/>
      <c r="Q59" s="28">
        <f>6410-5506</f>
        <v>904</v>
      </c>
      <c r="R59" s="28">
        <f>26459-22564</f>
        <v>3895</v>
      </c>
      <c r="S59" s="28">
        <f t="shared" si="3"/>
        <v>4799</v>
      </c>
      <c r="T59" s="41"/>
      <c r="U59" s="24">
        <f t="shared" si="0"/>
        <v>1808</v>
      </c>
      <c r="V59" s="24">
        <f t="shared" si="1"/>
        <v>7790</v>
      </c>
      <c r="W59" s="28">
        <f t="shared" si="4"/>
        <v>9598</v>
      </c>
    </row>
    <row r="60" spans="1:23" ht="29.25">
      <c r="A60" s="234" t="s">
        <v>7</v>
      </c>
      <c r="B60" s="25" t="s">
        <v>8</v>
      </c>
      <c r="C60" s="25" t="s">
        <v>977</v>
      </c>
      <c r="D60" s="42" t="s">
        <v>979</v>
      </c>
      <c r="E60" s="42">
        <v>96</v>
      </c>
      <c r="F60" s="42" t="s">
        <v>978</v>
      </c>
      <c r="G60" s="42" t="s">
        <v>977</v>
      </c>
      <c r="H60" s="42">
        <v>28702</v>
      </c>
      <c r="I60" s="302" t="s">
        <v>1520</v>
      </c>
      <c r="J60" s="138" t="s">
        <v>147</v>
      </c>
      <c r="K60" s="113">
        <v>2.2</v>
      </c>
      <c r="L60" s="28">
        <f>70999-62796</f>
        <v>8203</v>
      </c>
      <c r="M60" s="41"/>
      <c r="N60" s="41"/>
      <c r="O60" s="28">
        <f>L60</f>
        <v>8203</v>
      </c>
      <c r="P60" s="28">
        <f>70999-62796</f>
        <v>8203</v>
      </c>
      <c r="Q60" s="41"/>
      <c r="R60" s="41"/>
      <c r="S60" s="28">
        <f>P60</f>
        <v>8203</v>
      </c>
      <c r="T60" s="28">
        <f>O60+S60</f>
        <v>16406</v>
      </c>
      <c r="U60" s="41"/>
      <c r="V60" s="41"/>
      <c r="W60" s="28">
        <f>T60</f>
        <v>16406</v>
      </c>
    </row>
    <row r="61" spans="1:23" ht="29.25">
      <c r="A61" s="234" t="s">
        <v>7</v>
      </c>
      <c r="B61" s="30" t="s">
        <v>8</v>
      </c>
      <c r="C61" s="30" t="s">
        <v>977</v>
      </c>
      <c r="D61" s="30" t="s">
        <v>986</v>
      </c>
      <c r="E61" s="45"/>
      <c r="F61" s="45" t="s">
        <v>978</v>
      </c>
      <c r="G61" s="45" t="s">
        <v>977</v>
      </c>
      <c r="H61" s="45">
        <v>907902</v>
      </c>
      <c r="I61" s="357" t="s">
        <v>1517</v>
      </c>
      <c r="J61" s="367" t="s">
        <v>147</v>
      </c>
      <c r="K61" s="316">
        <v>6.6</v>
      </c>
      <c r="L61" s="28">
        <f>14957-12784</f>
        <v>2173</v>
      </c>
      <c r="M61" s="41"/>
      <c r="N61" s="41"/>
      <c r="O61" s="28">
        <f>L61</f>
        <v>2173</v>
      </c>
      <c r="P61" s="28">
        <f>14957-12784</f>
        <v>2173</v>
      </c>
      <c r="Q61" s="41"/>
      <c r="R61" s="41"/>
      <c r="S61" s="28">
        <f>P61</f>
        <v>2173</v>
      </c>
      <c r="T61" s="28">
        <f>O61+S61</f>
        <v>4346</v>
      </c>
      <c r="U61" s="41"/>
      <c r="V61" s="41"/>
      <c r="W61" s="28">
        <f>T61</f>
        <v>4346</v>
      </c>
    </row>
    <row r="62" spans="1:23" ht="30" thickBot="1">
      <c r="A62" s="234" t="s">
        <v>7</v>
      </c>
      <c r="B62" s="25" t="s">
        <v>8</v>
      </c>
      <c r="C62" s="25" t="s">
        <v>1001</v>
      </c>
      <c r="D62" s="42"/>
      <c r="E62" s="42">
        <v>10</v>
      </c>
      <c r="F62" s="42" t="s">
        <v>978</v>
      </c>
      <c r="G62" s="42" t="s">
        <v>977</v>
      </c>
      <c r="H62" s="42">
        <v>94964759</v>
      </c>
      <c r="I62" s="302" t="s">
        <v>1730</v>
      </c>
      <c r="J62" s="138" t="s">
        <v>147</v>
      </c>
      <c r="K62" s="113">
        <v>6</v>
      </c>
      <c r="L62" s="354">
        <f>(9165-7390)+17</f>
        <v>1792</v>
      </c>
      <c r="M62" s="41"/>
      <c r="N62" s="41"/>
      <c r="O62" s="28">
        <f>L62</f>
        <v>1792</v>
      </c>
      <c r="P62" s="354">
        <f>(9165-7390)+17</f>
        <v>1792</v>
      </c>
      <c r="Q62" s="41"/>
      <c r="R62" s="41"/>
      <c r="S62" s="28">
        <f>P62</f>
        <v>1792</v>
      </c>
      <c r="T62" s="28">
        <f>O62+S62</f>
        <v>3584</v>
      </c>
      <c r="U62" s="41"/>
      <c r="V62" s="41"/>
      <c r="W62" s="28">
        <f>T62</f>
        <v>3584</v>
      </c>
    </row>
    <row r="63" spans="2:23" ht="42" customHeight="1">
      <c r="B63" s="408" t="s">
        <v>150</v>
      </c>
      <c r="C63" s="249" t="s">
        <v>1920</v>
      </c>
      <c r="D63" s="32"/>
      <c r="E63" s="80"/>
      <c r="F63" s="80"/>
      <c r="G63" s="80"/>
      <c r="H63" s="521" t="s">
        <v>2030</v>
      </c>
      <c r="I63" s="32" t="s">
        <v>1920</v>
      </c>
      <c r="M63" s="1"/>
      <c r="N63" s="49" t="s">
        <v>151</v>
      </c>
      <c r="O63" s="279">
        <f>SUM(O18:O62)</f>
        <v>388546</v>
      </c>
      <c r="Q63" s="355"/>
      <c r="R63" s="49" t="s">
        <v>151</v>
      </c>
      <c r="S63" s="279">
        <f>SUM(S18:S62)</f>
        <v>388546</v>
      </c>
      <c r="U63" s="355"/>
      <c r="V63" s="49" t="s">
        <v>151</v>
      </c>
      <c r="W63" s="279">
        <f>SUM(W18:W62)</f>
        <v>777092</v>
      </c>
    </row>
    <row r="64" spans="2:14" ht="15">
      <c r="B64" s="237"/>
      <c r="C64" s="72" t="s">
        <v>1010</v>
      </c>
      <c r="D64" s="36"/>
      <c r="E64" s="80"/>
      <c r="F64" s="80"/>
      <c r="G64" s="80"/>
      <c r="H64" s="34"/>
      <c r="I64" s="36" t="s">
        <v>1010</v>
      </c>
      <c r="M64" s="1"/>
      <c r="N64" s="111"/>
    </row>
    <row r="65" spans="2:14" ht="15.75" thickBot="1">
      <c r="B65" s="237"/>
      <c r="C65" s="72" t="s">
        <v>1011</v>
      </c>
      <c r="D65" s="36"/>
      <c r="E65" s="459"/>
      <c r="F65" s="459"/>
      <c r="G65" s="459"/>
      <c r="H65" s="460"/>
      <c r="I65" s="39" t="s">
        <v>1011</v>
      </c>
      <c r="M65" s="101"/>
      <c r="N65" s="111"/>
    </row>
    <row r="66" spans="2:14" ht="15">
      <c r="B66" s="237" t="s">
        <v>1640</v>
      </c>
      <c r="C66" s="426">
        <v>8221002958</v>
      </c>
      <c r="D66" s="36"/>
      <c r="E66" s="459"/>
      <c r="F66" s="459"/>
      <c r="G66" s="459"/>
      <c r="H66" s="459"/>
      <c r="I66" s="459"/>
      <c r="M66" s="1"/>
      <c r="N66" s="111"/>
    </row>
    <row r="67" spans="2:14" ht="15.75" thickBot="1">
      <c r="B67" s="461" t="s">
        <v>1644</v>
      </c>
      <c r="C67" s="462" t="s">
        <v>2004</v>
      </c>
      <c r="D67" s="463"/>
      <c r="E67" s="459"/>
      <c r="F67" s="459"/>
      <c r="G67" s="459"/>
      <c r="H67" s="459"/>
      <c r="I67" s="459"/>
      <c r="M67" s="1"/>
      <c r="N67" s="111"/>
    </row>
    <row r="68" spans="2:14" ht="15">
      <c r="B68" s="525"/>
      <c r="C68" s="526"/>
      <c r="D68" s="459"/>
      <c r="E68" s="459"/>
      <c r="F68" s="459"/>
      <c r="G68" s="459"/>
      <c r="H68" s="459"/>
      <c r="I68" s="459"/>
      <c r="M68" s="355"/>
      <c r="N68" s="111"/>
    </row>
    <row r="69" spans="2:14" ht="15.75" thickBot="1">
      <c r="B69" s="525"/>
      <c r="C69" s="526"/>
      <c r="D69" s="459"/>
      <c r="E69" s="459"/>
      <c r="F69" s="459"/>
      <c r="G69" s="459"/>
      <c r="H69" s="459"/>
      <c r="I69" s="459"/>
      <c r="M69" s="355"/>
      <c r="N69" s="111"/>
    </row>
    <row r="70" spans="1:23" ht="57.75" customHeight="1">
      <c r="A70" s="759" t="s">
        <v>0</v>
      </c>
      <c r="B70" s="762" t="s">
        <v>976</v>
      </c>
      <c r="C70" s="765" t="s">
        <v>1</v>
      </c>
      <c r="D70" s="765" t="s">
        <v>2</v>
      </c>
      <c r="E70" s="756" t="s">
        <v>1020</v>
      </c>
      <c r="F70" s="756" t="s">
        <v>3</v>
      </c>
      <c r="G70" s="765" t="s">
        <v>4</v>
      </c>
      <c r="H70" s="756" t="s">
        <v>738</v>
      </c>
      <c r="I70" s="756" t="s">
        <v>5</v>
      </c>
      <c r="J70" s="756" t="s">
        <v>152</v>
      </c>
      <c r="K70" s="779" t="s">
        <v>975</v>
      </c>
      <c r="L70" s="746" t="s">
        <v>2254</v>
      </c>
      <c r="M70" s="747"/>
      <c r="N70" s="747"/>
      <c r="O70" s="748"/>
      <c r="P70" s="746" t="s">
        <v>2255</v>
      </c>
      <c r="Q70" s="747"/>
      <c r="R70" s="747"/>
      <c r="S70" s="748"/>
      <c r="T70" s="746" t="s">
        <v>2256</v>
      </c>
      <c r="U70" s="747"/>
      <c r="V70" s="747"/>
      <c r="W70" s="748"/>
    </row>
    <row r="71" spans="1:23" ht="65.25" customHeight="1">
      <c r="A71" s="760"/>
      <c r="B71" s="763"/>
      <c r="C71" s="766"/>
      <c r="D71" s="766"/>
      <c r="E71" s="757"/>
      <c r="F71" s="757"/>
      <c r="G71" s="766"/>
      <c r="H71" s="757"/>
      <c r="I71" s="757"/>
      <c r="J71" s="757"/>
      <c r="K71" s="780"/>
      <c r="L71" s="749" t="s">
        <v>1021</v>
      </c>
      <c r="M71" s="750"/>
      <c r="N71" s="750"/>
      <c r="O71" s="751"/>
      <c r="P71" s="749" t="s">
        <v>1021</v>
      </c>
      <c r="Q71" s="750"/>
      <c r="R71" s="750"/>
      <c r="S71" s="751"/>
      <c r="T71" s="749" t="s">
        <v>1021</v>
      </c>
      <c r="U71" s="750"/>
      <c r="V71" s="750"/>
      <c r="W71" s="751"/>
    </row>
    <row r="72" spans="1:23" ht="34.5" customHeight="1" thickBot="1">
      <c r="A72" s="761"/>
      <c r="B72" s="764"/>
      <c r="C72" s="767"/>
      <c r="D72" s="767"/>
      <c r="E72" s="758"/>
      <c r="F72" s="758"/>
      <c r="G72" s="767"/>
      <c r="H72" s="758"/>
      <c r="I72" s="758"/>
      <c r="J72" s="758"/>
      <c r="K72" s="781"/>
      <c r="L72" s="121" t="s">
        <v>1022</v>
      </c>
      <c r="M72" s="734" t="s">
        <v>1017</v>
      </c>
      <c r="N72" s="734" t="s">
        <v>1018</v>
      </c>
      <c r="O72" s="122" t="s">
        <v>6</v>
      </c>
      <c r="P72" s="121" t="s">
        <v>1022</v>
      </c>
      <c r="Q72" s="734" t="s">
        <v>1017</v>
      </c>
      <c r="R72" s="734" t="s">
        <v>1018</v>
      </c>
      <c r="S72" s="122" t="s">
        <v>6</v>
      </c>
      <c r="T72" s="121" t="s">
        <v>1022</v>
      </c>
      <c r="U72" s="734" t="s">
        <v>1017</v>
      </c>
      <c r="V72" s="734" t="s">
        <v>1018</v>
      </c>
      <c r="W72" s="122" t="s">
        <v>6</v>
      </c>
    </row>
    <row r="73" spans="1:23" ht="29.25">
      <c r="A73" s="234" t="s">
        <v>7</v>
      </c>
      <c r="B73" s="570" t="s">
        <v>8</v>
      </c>
      <c r="C73" s="535" t="s">
        <v>977</v>
      </c>
      <c r="D73" s="364" t="s">
        <v>350</v>
      </c>
      <c r="E73" s="48"/>
      <c r="F73" s="48" t="s">
        <v>978</v>
      </c>
      <c r="G73" s="48" t="s">
        <v>977</v>
      </c>
      <c r="H73" s="21">
        <v>83247318</v>
      </c>
      <c r="I73" s="302" t="s">
        <v>2060</v>
      </c>
      <c r="J73" s="560" t="s">
        <v>147</v>
      </c>
      <c r="K73" s="112">
        <v>0.2</v>
      </c>
      <c r="L73" s="48">
        <f>3265-2693</f>
        <v>572</v>
      </c>
      <c r="M73" s="269"/>
      <c r="N73" s="362"/>
      <c r="O73" s="48">
        <f>L73</f>
        <v>572</v>
      </c>
      <c r="P73" s="48">
        <f>3265-2693</f>
        <v>572</v>
      </c>
      <c r="Q73" s="269"/>
      <c r="R73" s="362"/>
      <c r="S73" s="48">
        <f>P73</f>
        <v>572</v>
      </c>
      <c r="T73" s="48">
        <f>O73+S73</f>
        <v>1144</v>
      </c>
      <c r="U73" s="269"/>
      <c r="V73" s="362"/>
      <c r="W73" s="48">
        <f>T73</f>
        <v>1144</v>
      </c>
    </row>
    <row r="74" spans="1:23" s="332" customFormat="1" ht="44.25" thickBot="1">
      <c r="A74" s="233" t="s">
        <v>7</v>
      </c>
      <c r="B74" s="174" t="s">
        <v>1910</v>
      </c>
      <c r="C74" s="629" t="s">
        <v>2211</v>
      </c>
      <c r="D74" s="630" t="s">
        <v>2212</v>
      </c>
      <c r="E74" s="48" t="s">
        <v>2213</v>
      </c>
      <c r="F74" s="48" t="s">
        <v>978</v>
      </c>
      <c r="G74" s="48" t="s">
        <v>977</v>
      </c>
      <c r="H74" s="21">
        <v>83246653</v>
      </c>
      <c r="I74" s="357" t="s">
        <v>2214</v>
      </c>
      <c r="J74" s="631" t="s">
        <v>12</v>
      </c>
      <c r="K74" s="628">
        <v>0.1</v>
      </c>
      <c r="L74" s="50"/>
      <c r="M74" s="24">
        <f>865-732</f>
        <v>133</v>
      </c>
      <c r="N74" s="24">
        <f>1288-988</f>
        <v>300</v>
      </c>
      <c r="O74" s="24">
        <f>SUM(M74:N74)</f>
        <v>433</v>
      </c>
      <c r="P74" s="50"/>
      <c r="Q74" s="24">
        <f>865-732</f>
        <v>133</v>
      </c>
      <c r="R74" s="24">
        <f>1288-988</f>
        <v>300</v>
      </c>
      <c r="S74" s="24">
        <f>SUM(Q74:R74)</f>
        <v>433</v>
      </c>
      <c r="T74" s="50"/>
      <c r="U74" s="24">
        <f>M74+Q74</f>
        <v>266</v>
      </c>
      <c r="V74" s="24">
        <f>N74+R74</f>
        <v>600</v>
      </c>
      <c r="W74" s="24">
        <f>SUM(U74:V74)</f>
        <v>866</v>
      </c>
    </row>
    <row r="75" spans="1:23" ht="33" customHeight="1">
      <c r="A75" s="236"/>
      <c r="B75" s="408" t="s">
        <v>150</v>
      </c>
      <c r="C75" s="249" t="s">
        <v>2058</v>
      </c>
      <c r="D75" s="61"/>
      <c r="E75" s="61"/>
      <c r="F75" s="61"/>
      <c r="G75" s="32"/>
      <c r="H75" s="527" t="s">
        <v>2030</v>
      </c>
      <c r="I75" s="249" t="s">
        <v>2058</v>
      </c>
      <c r="J75" s="528"/>
      <c r="K75" s="365"/>
      <c r="M75" s="355"/>
      <c r="N75" s="49" t="s">
        <v>151</v>
      </c>
      <c r="O75" s="279">
        <f>SUM(O73:O74)</f>
        <v>1005</v>
      </c>
      <c r="Q75" s="355"/>
      <c r="R75" s="49" t="s">
        <v>151</v>
      </c>
      <c r="S75" s="279">
        <f>SUM(S73:S74)</f>
        <v>1005</v>
      </c>
      <c r="U75" s="355"/>
      <c r="V75" s="49" t="s">
        <v>151</v>
      </c>
      <c r="W75" s="279">
        <f>SUM(W73:W74)</f>
        <v>2010</v>
      </c>
    </row>
    <row r="76" spans="1:14" ht="15">
      <c r="A76" s="236"/>
      <c r="B76" s="237"/>
      <c r="C76" s="72" t="s">
        <v>1010</v>
      </c>
      <c r="D76" s="64"/>
      <c r="E76" s="64"/>
      <c r="F76" s="64"/>
      <c r="G76" s="36"/>
      <c r="H76" s="64"/>
      <c r="I76" s="64" t="s">
        <v>1010</v>
      </c>
      <c r="J76" s="46"/>
      <c r="K76" s="358"/>
      <c r="M76" s="355"/>
      <c r="N76" s="111"/>
    </row>
    <row r="77" spans="1:14" ht="15.75" thickBot="1">
      <c r="A77" s="236"/>
      <c r="B77" s="237"/>
      <c r="C77" s="72" t="s">
        <v>1011</v>
      </c>
      <c r="D77" s="64"/>
      <c r="E77" s="459"/>
      <c r="F77" s="459"/>
      <c r="G77" s="529"/>
      <c r="H77" s="530"/>
      <c r="I77" s="67" t="s">
        <v>1011</v>
      </c>
      <c r="J77" s="531"/>
      <c r="K77" s="532"/>
      <c r="M77" s="355"/>
      <c r="N77" s="111"/>
    </row>
    <row r="78" spans="1:14" ht="15">
      <c r="A78" s="236"/>
      <c r="B78" s="237" t="s">
        <v>1640</v>
      </c>
      <c r="C78" s="72" t="s">
        <v>1921</v>
      </c>
      <c r="D78" s="64"/>
      <c r="E78" s="459"/>
      <c r="F78" s="459"/>
      <c r="G78" s="529"/>
      <c r="H78" s="459"/>
      <c r="I78" s="459"/>
      <c r="J78" s="533"/>
      <c r="K78" s="534"/>
      <c r="L78" t="s">
        <v>155</v>
      </c>
      <c r="M78" s="101">
        <f>W63+W75</f>
        <v>779102</v>
      </c>
      <c r="N78" s="111"/>
    </row>
    <row r="79" spans="1:14" ht="15.75" thickBot="1">
      <c r="A79" s="236"/>
      <c r="B79" s="461" t="s">
        <v>1644</v>
      </c>
      <c r="C79" s="462" t="s">
        <v>2059</v>
      </c>
      <c r="D79" s="530"/>
      <c r="E79" s="530"/>
      <c r="F79" s="530"/>
      <c r="G79" s="463"/>
      <c r="H79" s="459"/>
      <c r="I79" s="459"/>
      <c r="J79" s="533"/>
      <c r="K79" s="534"/>
      <c r="M79" s="355"/>
      <c r="N79" s="111"/>
    </row>
    <row r="80" spans="4:15" ht="46.5" customHeight="1">
      <c r="D80" s="110"/>
      <c r="K80" s="772" t="s">
        <v>152</v>
      </c>
      <c r="L80" s="774" t="s">
        <v>2257</v>
      </c>
      <c r="M80" s="775"/>
      <c r="N80" s="776"/>
      <c r="O80" s="768" t="s">
        <v>153</v>
      </c>
    </row>
    <row r="81" spans="4:15" ht="25.5" customHeight="1" thickBot="1">
      <c r="D81" s="110"/>
      <c r="K81" s="773"/>
      <c r="L81" s="115" t="s">
        <v>154</v>
      </c>
      <c r="M81" s="115" t="s">
        <v>1017</v>
      </c>
      <c r="N81" s="115" t="s">
        <v>1018</v>
      </c>
      <c r="O81" s="769"/>
    </row>
    <row r="82" spans="4:15" ht="22.5" customHeight="1">
      <c r="D82" s="110"/>
      <c r="K82" s="116" t="s">
        <v>147</v>
      </c>
      <c r="L82" s="582">
        <f>SUM(W60:W62)+W73</f>
        <v>25480</v>
      </c>
      <c r="M82" s="117"/>
      <c r="N82" s="117"/>
      <c r="O82" s="582">
        <v>4</v>
      </c>
    </row>
    <row r="83" spans="11:15" ht="22.5" customHeight="1" thickBot="1">
      <c r="K83" s="51" t="s">
        <v>12</v>
      </c>
      <c r="L83" s="118"/>
      <c r="M83" s="583">
        <f>SUM(U18:U59,U74)</f>
        <v>145290</v>
      </c>
      <c r="N83" s="583">
        <f>SUM(V18:V59,V74)</f>
        <v>608332</v>
      </c>
      <c r="O83" s="583">
        <v>43</v>
      </c>
    </row>
    <row r="84" spans="11:15" ht="22.5" customHeight="1" thickBot="1">
      <c r="K84" s="119" t="s">
        <v>155</v>
      </c>
      <c r="L84" s="120">
        <f>SUM(L82:L83)</f>
        <v>25480</v>
      </c>
      <c r="M84" s="16">
        <f>SUM(M82:M83)</f>
        <v>145290</v>
      </c>
      <c r="N84" s="13">
        <f>SUM(N82:N83)</f>
        <v>608332</v>
      </c>
      <c r="O84" s="278">
        <f>SUM(O82:O83)</f>
        <v>47</v>
      </c>
    </row>
    <row r="85" spans="12:15" ht="22.5" customHeight="1" thickBot="1">
      <c r="L85" s="18" t="s">
        <v>156</v>
      </c>
      <c r="M85" s="273">
        <f>SUM(L84:N84)</f>
        <v>779102</v>
      </c>
      <c r="N85" s="2"/>
      <c r="O85" s="2"/>
    </row>
  </sheetData>
  <sheetProtection/>
  <mergeCells count="40">
    <mergeCell ref="P71:S71"/>
    <mergeCell ref="T71:W71"/>
    <mergeCell ref="P15:S15"/>
    <mergeCell ref="T15:W15"/>
    <mergeCell ref="P16:S16"/>
    <mergeCell ref="T16:W16"/>
    <mergeCell ref="P70:S70"/>
    <mergeCell ref="T70:W70"/>
    <mergeCell ref="B1:L1"/>
    <mergeCell ref="L15:O15"/>
    <mergeCell ref="L16:O16"/>
    <mergeCell ref="F15:F17"/>
    <mergeCell ref="I15:I17"/>
    <mergeCell ref="A15:A17"/>
    <mergeCell ref="B15:B17"/>
    <mergeCell ref="C15:C17"/>
    <mergeCell ref="D15:D17"/>
    <mergeCell ref="E15:E17"/>
    <mergeCell ref="K80:K81"/>
    <mergeCell ref="G15:G17"/>
    <mergeCell ref="L80:N80"/>
    <mergeCell ref="O80:O81"/>
    <mergeCell ref="H70:H72"/>
    <mergeCell ref="I70:I72"/>
    <mergeCell ref="J70:J72"/>
    <mergeCell ref="K70:K72"/>
    <mergeCell ref="L70:O70"/>
    <mergeCell ref="L71:O71"/>
    <mergeCell ref="A70:A72"/>
    <mergeCell ref="B70:B72"/>
    <mergeCell ref="C70:C72"/>
    <mergeCell ref="D70:D72"/>
    <mergeCell ref="E70:E72"/>
    <mergeCell ref="F70:F72"/>
    <mergeCell ref="B3:I3"/>
    <mergeCell ref="B5:I5"/>
    <mergeCell ref="H15:H17"/>
    <mergeCell ref="K15:K17"/>
    <mergeCell ref="J15:J17"/>
    <mergeCell ref="G70:G72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8"/>
  <sheetViews>
    <sheetView zoomScale="50" zoomScaleNormal="50" zoomScalePageLayoutView="0" workbookViewId="0" topLeftCell="A70">
      <selection activeCell="T99" sqref="T99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7" max="7" width="18.0976562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3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19" style="0" customWidth="1"/>
    <col min="17" max="17" width="13.5" style="0" customWidth="1"/>
    <col min="18" max="18" width="14.8984375" style="0" customWidth="1"/>
    <col min="19" max="19" width="14.59765625" style="0" customWidth="1"/>
    <col min="20" max="20" width="20.59765625" style="0" customWidth="1"/>
    <col min="21" max="21" width="21.69921875" style="0" customWidth="1"/>
    <col min="22" max="22" width="16.5" style="0" customWidth="1"/>
    <col min="23" max="23" width="14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3"/>
      <c r="I2" s="184"/>
      <c r="J2" s="182"/>
      <c r="K2" s="182"/>
    </row>
    <row r="3" spans="2:11" ht="29.25" customHeight="1">
      <c r="B3" s="782" t="s">
        <v>1040</v>
      </c>
      <c r="C3" s="783"/>
      <c r="D3" s="783"/>
      <c r="E3" s="783"/>
      <c r="F3" s="783"/>
      <c r="G3" s="783"/>
      <c r="H3" s="783"/>
      <c r="I3" s="783"/>
      <c r="J3" s="784"/>
      <c r="K3" s="182"/>
    </row>
    <row r="4" spans="2:11" ht="19.5" customHeight="1">
      <c r="B4" s="183"/>
      <c r="C4" s="183"/>
      <c r="D4" s="183"/>
      <c r="E4" s="183"/>
      <c r="F4" s="183"/>
      <c r="G4" s="183"/>
      <c r="H4" s="183"/>
      <c r="I4" s="184"/>
      <c r="J4" s="182"/>
      <c r="K4" s="182"/>
    </row>
    <row r="5" spans="2:11" ht="19.5" customHeight="1">
      <c r="B5" s="755" t="s">
        <v>1012</v>
      </c>
      <c r="C5" s="755"/>
      <c r="D5" s="755"/>
      <c r="E5" s="755"/>
      <c r="F5" s="755"/>
      <c r="G5" s="755"/>
      <c r="H5" s="755"/>
      <c r="I5" s="755"/>
      <c r="J5" s="755"/>
      <c r="K5" s="182"/>
    </row>
    <row r="6" spans="2:11" ht="19.5" customHeight="1">
      <c r="B6" s="183"/>
      <c r="C6" s="183"/>
      <c r="D6" s="183"/>
      <c r="E6" s="183"/>
      <c r="F6" s="183"/>
      <c r="G6" s="183"/>
      <c r="H6" s="183"/>
      <c r="I6" s="184"/>
      <c r="J6" s="182"/>
      <c r="K6" s="182"/>
    </row>
    <row r="7" spans="2:11" ht="19.5" customHeight="1">
      <c r="B7" s="383" t="s">
        <v>950</v>
      </c>
      <c r="C7" s="182"/>
      <c r="D7" s="183"/>
      <c r="E7" s="183"/>
      <c r="F7" s="183"/>
      <c r="G7" s="182"/>
      <c r="H7" s="183"/>
      <c r="I7" s="184"/>
      <c r="J7" s="182"/>
      <c r="K7" s="182"/>
    </row>
    <row r="8" spans="2:11" ht="19.5" customHeight="1">
      <c r="B8" s="383" t="s">
        <v>2031</v>
      </c>
      <c r="C8" s="182"/>
      <c r="D8" s="183"/>
      <c r="E8" s="183"/>
      <c r="F8" s="183"/>
      <c r="G8" s="182"/>
      <c r="H8" s="183"/>
      <c r="I8" s="184"/>
      <c r="J8" s="182"/>
      <c r="K8" s="182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19.5" customHeight="1">
      <c r="B10" s="186" t="s">
        <v>1634</v>
      </c>
      <c r="C10" s="182"/>
      <c r="D10" s="187"/>
      <c r="E10" s="183"/>
      <c r="F10" s="183"/>
      <c r="G10" s="182"/>
      <c r="H10" s="183"/>
      <c r="I10" s="184"/>
      <c r="J10" s="182"/>
      <c r="K10" s="182"/>
    </row>
    <row r="11" spans="2:11" ht="19.5" customHeight="1">
      <c r="B11" s="182" t="s">
        <v>1024</v>
      </c>
      <c r="C11" s="182"/>
      <c r="D11" s="182"/>
      <c r="E11" s="182"/>
      <c r="F11" s="182"/>
      <c r="G11" s="182"/>
      <c r="H11" s="183"/>
      <c r="I11" s="184"/>
      <c r="J11" s="182"/>
      <c r="K11" s="182"/>
    </row>
    <row r="12" spans="2:11" ht="19.5" customHeight="1">
      <c r="B12" s="188"/>
      <c r="C12" s="189"/>
      <c r="D12" s="187"/>
      <c r="E12" s="187"/>
      <c r="F12" s="187"/>
      <c r="G12" s="187"/>
      <c r="H12" s="524"/>
      <c r="I12" s="182"/>
      <c r="J12" s="182"/>
      <c r="K12" s="182"/>
    </row>
    <row r="13" spans="2:11" ht="15.75">
      <c r="B13" s="188" t="s">
        <v>1015</v>
      </c>
      <c r="C13" s="185" t="s">
        <v>1016</v>
      </c>
      <c r="D13" s="187"/>
      <c r="E13" s="187"/>
      <c r="F13" s="187"/>
      <c r="G13" s="187"/>
      <c r="H13" s="644"/>
      <c r="I13" s="182"/>
      <c r="J13" s="182"/>
      <c r="K13" s="182"/>
    </row>
    <row r="14" ht="15" thickBot="1"/>
    <row r="15" spans="1:23" ht="45" customHeight="1">
      <c r="A15" s="801" t="s">
        <v>0</v>
      </c>
      <c r="B15" s="804" t="s">
        <v>976</v>
      </c>
      <c r="C15" s="804" t="s">
        <v>1</v>
      </c>
      <c r="D15" s="804" t="s">
        <v>2</v>
      </c>
      <c r="E15" s="798" t="s">
        <v>1020</v>
      </c>
      <c r="F15" s="798" t="s">
        <v>3</v>
      </c>
      <c r="G15" s="804" t="s">
        <v>4</v>
      </c>
      <c r="H15" s="810" t="s">
        <v>5</v>
      </c>
      <c r="I15" s="810" t="s">
        <v>738</v>
      </c>
      <c r="J15" s="810" t="s">
        <v>152</v>
      </c>
      <c r="K15" s="813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4.25" customHeight="1">
      <c r="A16" s="802"/>
      <c r="B16" s="805"/>
      <c r="C16" s="805"/>
      <c r="D16" s="805"/>
      <c r="E16" s="799"/>
      <c r="F16" s="799"/>
      <c r="G16" s="805"/>
      <c r="H16" s="811"/>
      <c r="I16" s="811"/>
      <c r="J16" s="811"/>
      <c r="K16" s="814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6.25" customHeight="1" thickBot="1">
      <c r="A17" s="803"/>
      <c r="B17" s="806"/>
      <c r="C17" s="806"/>
      <c r="D17" s="806"/>
      <c r="E17" s="800"/>
      <c r="F17" s="800"/>
      <c r="G17" s="806"/>
      <c r="H17" s="812"/>
      <c r="I17" s="812"/>
      <c r="J17" s="812"/>
      <c r="K17" s="815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55" t="s">
        <v>7</v>
      </c>
      <c r="B18" s="152" t="s">
        <v>8</v>
      </c>
      <c r="C18" s="152" t="s">
        <v>1994</v>
      </c>
      <c r="D18" s="151"/>
      <c r="E18" s="152"/>
      <c r="F18" s="152" t="s">
        <v>1041</v>
      </c>
      <c r="G18" s="152" t="s">
        <v>1042</v>
      </c>
      <c r="H18" s="306" t="s">
        <v>1414</v>
      </c>
      <c r="I18" s="178">
        <v>1482835</v>
      </c>
      <c r="J18" s="307" t="s">
        <v>12</v>
      </c>
      <c r="K18" s="152">
        <v>0.4</v>
      </c>
      <c r="L18" s="153"/>
      <c r="M18" s="154">
        <f>4828-4549</f>
        <v>279</v>
      </c>
      <c r="N18" s="154">
        <f>7164-5944</f>
        <v>1220</v>
      </c>
      <c r="O18" s="155">
        <f>M18+N18</f>
        <v>1499</v>
      </c>
      <c r="P18" s="153"/>
      <c r="Q18" s="154">
        <f>4828-4549</f>
        <v>279</v>
      </c>
      <c r="R18" s="154">
        <f>7164-5944</f>
        <v>1220</v>
      </c>
      <c r="S18" s="155">
        <f>Q18+R18</f>
        <v>1499</v>
      </c>
      <c r="T18" s="153"/>
      <c r="U18" s="154">
        <f>M18+Q18</f>
        <v>558</v>
      </c>
      <c r="V18" s="154">
        <f>N18+R18</f>
        <v>2440</v>
      </c>
      <c r="W18" s="155">
        <f>U18+V18</f>
        <v>2998</v>
      </c>
    </row>
    <row r="19" spans="1:23" ht="29.25">
      <c r="A19" s="255" t="s">
        <v>7</v>
      </c>
      <c r="B19" s="152" t="s">
        <v>8</v>
      </c>
      <c r="C19" s="149" t="s">
        <v>1980</v>
      </c>
      <c r="D19" s="148"/>
      <c r="E19" s="149"/>
      <c r="F19" s="149" t="s">
        <v>1041</v>
      </c>
      <c r="G19" s="149" t="s">
        <v>1042</v>
      </c>
      <c r="H19" s="305" t="s">
        <v>1399</v>
      </c>
      <c r="I19" s="179">
        <v>83247334</v>
      </c>
      <c r="J19" s="308" t="s">
        <v>12</v>
      </c>
      <c r="K19" s="149">
        <v>0.6</v>
      </c>
      <c r="L19" s="156"/>
      <c r="M19" s="157">
        <f>9309-7464</f>
        <v>1845</v>
      </c>
      <c r="N19" s="157">
        <f>33906-27595</f>
        <v>6311</v>
      </c>
      <c r="O19" s="155">
        <f aca="true" t="shared" si="0" ref="O19:O77">M19+N19</f>
        <v>8156</v>
      </c>
      <c r="P19" s="156"/>
      <c r="Q19" s="157">
        <f>9309-7464</f>
        <v>1845</v>
      </c>
      <c r="R19" s="157">
        <f>33906-27595</f>
        <v>6311</v>
      </c>
      <c r="S19" s="155">
        <f aca="true" t="shared" si="1" ref="S19:S77">Q19+R19</f>
        <v>8156</v>
      </c>
      <c r="T19" s="156"/>
      <c r="U19" s="154">
        <f aca="true" t="shared" si="2" ref="U19:U77">M19+Q19</f>
        <v>3690</v>
      </c>
      <c r="V19" s="154">
        <f aca="true" t="shared" si="3" ref="V19:V77">N19+R19</f>
        <v>12622</v>
      </c>
      <c r="W19" s="155">
        <f aca="true" t="shared" si="4" ref="W19:W77">U19+V19</f>
        <v>16312</v>
      </c>
    </row>
    <row r="20" spans="1:23" ht="29.25">
      <c r="A20" s="255" t="s">
        <v>7</v>
      </c>
      <c r="B20" s="152" t="s">
        <v>8</v>
      </c>
      <c r="C20" s="149" t="s">
        <v>1981</v>
      </c>
      <c r="D20" s="148"/>
      <c r="E20" s="149">
        <v>3</v>
      </c>
      <c r="F20" s="149" t="s">
        <v>1041</v>
      </c>
      <c r="G20" s="149" t="s">
        <v>1042</v>
      </c>
      <c r="H20" s="305" t="s">
        <v>1400</v>
      </c>
      <c r="I20" s="179">
        <v>83904370</v>
      </c>
      <c r="J20" s="308" t="s">
        <v>12</v>
      </c>
      <c r="K20" s="149">
        <v>0.6</v>
      </c>
      <c r="L20" s="156"/>
      <c r="M20" s="157">
        <f>2048-1121</f>
        <v>927</v>
      </c>
      <c r="N20" s="157">
        <f>8853-4795</f>
        <v>4058</v>
      </c>
      <c r="O20" s="155">
        <f t="shared" si="0"/>
        <v>4985</v>
      </c>
      <c r="P20" s="156"/>
      <c r="Q20" s="157">
        <f>2048-1121</f>
        <v>927</v>
      </c>
      <c r="R20" s="157">
        <f>8853-4795</f>
        <v>4058</v>
      </c>
      <c r="S20" s="155">
        <f t="shared" si="1"/>
        <v>4985</v>
      </c>
      <c r="T20" s="156"/>
      <c r="U20" s="154">
        <f t="shared" si="2"/>
        <v>1854</v>
      </c>
      <c r="V20" s="154">
        <f t="shared" si="3"/>
        <v>8116</v>
      </c>
      <c r="W20" s="155">
        <f t="shared" si="4"/>
        <v>9970</v>
      </c>
    </row>
    <row r="21" spans="1:23" ht="29.25">
      <c r="A21" s="255" t="s">
        <v>7</v>
      </c>
      <c r="B21" s="152" t="s">
        <v>8</v>
      </c>
      <c r="C21" s="149" t="s">
        <v>1982</v>
      </c>
      <c r="D21" s="148"/>
      <c r="E21" s="149">
        <v>4</v>
      </c>
      <c r="F21" s="149" t="s">
        <v>1041</v>
      </c>
      <c r="G21" s="149" t="s">
        <v>1042</v>
      </c>
      <c r="H21" s="306" t="s">
        <v>1401</v>
      </c>
      <c r="I21" s="179">
        <v>83247327</v>
      </c>
      <c r="J21" s="308" t="s">
        <v>12</v>
      </c>
      <c r="K21" s="149">
        <v>0.5</v>
      </c>
      <c r="L21" s="156"/>
      <c r="M21" s="157">
        <f>1997-1492</f>
        <v>505</v>
      </c>
      <c r="N21" s="157">
        <f>7178-5344</f>
        <v>1834</v>
      </c>
      <c r="O21" s="155">
        <f t="shared" si="0"/>
        <v>2339</v>
      </c>
      <c r="P21" s="156"/>
      <c r="Q21" s="157">
        <f>1997-1492</f>
        <v>505</v>
      </c>
      <c r="R21" s="157">
        <f>7178-5344</f>
        <v>1834</v>
      </c>
      <c r="S21" s="155">
        <f t="shared" si="1"/>
        <v>2339</v>
      </c>
      <c r="T21" s="156"/>
      <c r="U21" s="154">
        <f t="shared" si="2"/>
        <v>1010</v>
      </c>
      <c r="V21" s="154">
        <f t="shared" si="3"/>
        <v>3668</v>
      </c>
      <c r="W21" s="155">
        <f t="shared" si="4"/>
        <v>4678</v>
      </c>
    </row>
    <row r="22" spans="1:23" ht="29.25">
      <c r="A22" s="255" t="s">
        <v>7</v>
      </c>
      <c r="B22" s="152" t="s">
        <v>8</v>
      </c>
      <c r="C22" s="149" t="s">
        <v>1983</v>
      </c>
      <c r="D22" s="148"/>
      <c r="E22" s="149"/>
      <c r="F22" s="149" t="s">
        <v>1041</v>
      </c>
      <c r="G22" s="149" t="s">
        <v>1042</v>
      </c>
      <c r="H22" s="305" t="s">
        <v>1403</v>
      </c>
      <c r="I22" s="179">
        <v>83698394</v>
      </c>
      <c r="J22" s="308" t="s">
        <v>12</v>
      </c>
      <c r="K22" s="149">
        <v>0.6</v>
      </c>
      <c r="L22" s="156"/>
      <c r="M22" s="157">
        <f>5439-3866</f>
        <v>1573</v>
      </c>
      <c r="N22" s="157">
        <f>20611-14197</f>
        <v>6414</v>
      </c>
      <c r="O22" s="155">
        <f t="shared" si="0"/>
        <v>7987</v>
      </c>
      <c r="P22" s="156"/>
      <c r="Q22" s="157">
        <f>5439-3866</f>
        <v>1573</v>
      </c>
      <c r="R22" s="157">
        <f>20611-14197</f>
        <v>6414</v>
      </c>
      <c r="S22" s="155">
        <f t="shared" si="1"/>
        <v>7987</v>
      </c>
      <c r="T22" s="156"/>
      <c r="U22" s="154">
        <f t="shared" si="2"/>
        <v>3146</v>
      </c>
      <c r="V22" s="154">
        <f t="shared" si="3"/>
        <v>12828</v>
      </c>
      <c r="W22" s="155">
        <f t="shared" si="4"/>
        <v>15974</v>
      </c>
    </row>
    <row r="23" spans="1:23" ht="29.25">
      <c r="A23" s="255" t="s">
        <v>7</v>
      </c>
      <c r="B23" s="152" t="s">
        <v>8</v>
      </c>
      <c r="C23" s="149" t="s">
        <v>1984</v>
      </c>
      <c r="D23" s="148"/>
      <c r="E23" s="149"/>
      <c r="F23" s="149" t="s">
        <v>1041</v>
      </c>
      <c r="G23" s="149" t="s">
        <v>1042</v>
      </c>
      <c r="H23" s="305" t="s">
        <v>1404</v>
      </c>
      <c r="I23" s="179">
        <v>83246564</v>
      </c>
      <c r="J23" s="308" t="s">
        <v>12</v>
      </c>
      <c r="K23" s="149">
        <v>0.7</v>
      </c>
      <c r="L23" s="156"/>
      <c r="M23" s="157">
        <f>5526-4412</f>
        <v>1114</v>
      </c>
      <c r="N23" s="157">
        <f>19562-15644</f>
        <v>3918</v>
      </c>
      <c r="O23" s="155">
        <f t="shared" si="0"/>
        <v>5032</v>
      </c>
      <c r="P23" s="156"/>
      <c r="Q23" s="157">
        <f>5526-4412</f>
        <v>1114</v>
      </c>
      <c r="R23" s="157">
        <f>19562-15644</f>
        <v>3918</v>
      </c>
      <c r="S23" s="155">
        <f t="shared" si="1"/>
        <v>5032</v>
      </c>
      <c r="T23" s="156"/>
      <c r="U23" s="154">
        <f t="shared" si="2"/>
        <v>2228</v>
      </c>
      <c r="V23" s="154">
        <f t="shared" si="3"/>
        <v>7836</v>
      </c>
      <c r="W23" s="155">
        <f t="shared" si="4"/>
        <v>10064</v>
      </c>
    </row>
    <row r="24" spans="1:23" ht="29.25">
      <c r="A24" s="255" t="s">
        <v>7</v>
      </c>
      <c r="B24" s="152" t="s">
        <v>8</v>
      </c>
      <c r="C24" s="149" t="s">
        <v>1985</v>
      </c>
      <c r="D24" s="148"/>
      <c r="E24" s="149"/>
      <c r="F24" s="149" t="s">
        <v>1041</v>
      </c>
      <c r="G24" s="149" t="s">
        <v>1042</v>
      </c>
      <c r="H24" s="306" t="s">
        <v>1402</v>
      </c>
      <c r="I24" s="179">
        <v>83907860</v>
      </c>
      <c r="J24" s="308" t="s">
        <v>12</v>
      </c>
      <c r="K24" s="149">
        <v>0.6</v>
      </c>
      <c r="L24" s="156"/>
      <c r="M24" s="157">
        <f>1018-521</f>
        <v>497</v>
      </c>
      <c r="N24" s="157">
        <f>4804-2464</f>
        <v>2340</v>
      </c>
      <c r="O24" s="155">
        <f t="shared" si="0"/>
        <v>2837</v>
      </c>
      <c r="P24" s="156"/>
      <c r="Q24" s="157">
        <f>1018-521</f>
        <v>497</v>
      </c>
      <c r="R24" s="157">
        <f>4804-2464</f>
        <v>2340</v>
      </c>
      <c r="S24" s="155">
        <f t="shared" si="1"/>
        <v>2837</v>
      </c>
      <c r="T24" s="156"/>
      <c r="U24" s="154">
        <f t="shared" si="2"/>
        <v>994</v>
      </c>
      <c r="V24" s="154">
        <f t="shared" si="3"/>
        <v>4680</v>
      </c>
      <c r="W24" s="155">
        <f t="shared" si="4"/>
        <v>5674</v>
      </c>
    </row>
    <row r="25" spans="1:23" ht="29.25">
      <c r="A25" s="255" t="s">
        <v>7</v>
      </c>
      <c r="B25" s="152" t="s">
        <v>8</v>
      </c>
      <c r="C25" s="149" t="s">
        <v>1986</v>
      </c>
      <c r="D25" s="148"/>
      <c r="E25" s="149"/>
      <c r="F25" s="149" t="s">
        <v>1041</v>
      </c>
      <c r="G25" s="149" t="s">
        <v>1042</v>
      </c>
      <c r="H25" s="305" t="s">
        <v>1405</v>
      </c>
      <c r="I25" s="179">
        <v>83903908</v>
      </c>
      <c r="J25" s="308" t="s">
        <v>12</v>
      </c>
      <c r="K25" s="149">
        <v>0.6</v>
      </c>
      <c r="L25" s="156"/>
      <c r="M25" s="157">
        <f>2525-1336</f>
        <v>1189</v>
      </c>
      <c r="N25" s="157">
        <f>10897-5685</f>
        <v>5212</v>
      </c>
      <c r="O25" s="155">
        <f t="shared" si="0"/>
        <v>6401</v>
      </c>
      <c r="P25" s="156"/>
      <c r="Q25" s="157">
        <f>2525-1336</f>
        <v>1189</v>
      </c>
      <c r="R25" s="157">
        <f>10897-5685</f>
        <v>5212</v>
      </c>
      <c r="S25" s="155">
        <f t="shared" si="1"/>
        <v>6401</v>
      </c>
      <c r="T25" s="156"/>
      <c r="U25" s="154">
        <f t="shared" si="2"/>
        <v>2378</v>
      </c>
      <c r="V25" s="154">
        <f t="shared" si="3"/>
        <v>10424</v>
      </c>
      <c r="W25" s="155">
        <f t="shared" si="4"/>
        <v>12802</v>
      </c>
    </row>
    <row r="26" spans="1:23" ht="29.25">
      <c r="A26" s="255" t="s">
        <v>7</v>
      </c>
      <c r="B26" s="152" t="s">
        <v>8</v>
      </c>
      <c r="C26" s="149" t="s">
        <v>1987</v>
      </c>
      <c r="D26" s="148"/>
      <c r="E26" s="149"/>
      <c r="F26" s="149" t="s">
        <v>1041</v>
      </c>
      <c r="G26" s="149" t="s">
        <v>1042</v>
      </c>
      <c r="H26" s="305" t="s">
        <v>1406</v>
      </c>
      <c r="I26" s="179">
        <v>83897956</v>
      </c>
      <c r="J26" s="308" t="s">
        <v>12</v>
      </c>
      <c r="K26" s="149">
        <v>0.6</v>
      </c>
      <c r="L26" s="156"/>
      <c r="M26" s="157">
        <f>2374-1252</f>
        <v>1122</v>
      </c>
      <c r="N26" s="157">
        <f>9900-5221</f>
        <v>4679</v>
      </c>
      <c r="O26" s="155">
        <f t="shared" si="0"/>
        <v>5801</v>
      </c>
      <c r="P26" s="156"/>
      <c r="Q26" s="157">
        <f>2374-1252</f>
        <v>1122</v>
      </c>
      <c r="R26" s="157">
        <f>9900-5221</f>
        <v>4679</v>
      </c>
      <c r="S26" s="155">
        <f t="shared" si="1"/>
        <v>5801</v>
      </c>
      <c r="T26" s="156"/>
      <c r="U26" s="154">
        <f t="shared" si="2"/>
        <v>2244</v>
      </c>
      <c r="V26" s="154">
        <f t="shared" si="3"/>
        <v>9358</v>
      </c>
      <c r="W26" s="155">
        <f t="shared" si="4"/>
        <v>11602</v>
      </c>
    </row>
    <row r="27" spans="1:23" ht="29.25">
      <c r="A27" s="255" t="s">
        <v>7</v>
      </c>
      <c r="B27" s="152" t="s">
        <v>8</v>
      </c>
      <c r="C27" s="149" t="s">
        <v>2002</v>
      </c>
      <c r="D27" s="148"/>
      <c r="E27" s="149"/>
      <c r="F27" s="149" t="s">
        <v>1041</v>
      </c>
      <c r="G27" s="149" t="s">
        <v>1042</v>
      </c>
      <c r="H27" s="306" t="s">
        <v>1407</v>
      </c>
      <c r="I27" s="179">
        <v>83907888</v>
      </c>
      <c r="J27" s="308" t="s">
        <v>12</v>
      </c>
      <c r="K27" s="149">
        <v>0.8</v>
      </c>
      <c r="L27" s="156"/>
      <c r="M27" s="157">
        <f>2475-1334</f>
        <v>1141</v>
      </c>
      <c r="N27" s="157">
        <f>10730-5566</f>
        <v>5164</v>
      </c>
      <c r="O27" s="155">
        <f t="shared" si="0"/>
        <v>6305</v>
      </c>
      <c r="P27" s="156"/>
      <c r="Q27" s="157">
        <f>2475-1334</f>
        <v>1141</v>
      </c>
      <c r="R27" s="157">
        <f>10730-5566</f>
        <v>5164</v>
      </c>
      <c r="S27" s="155">
        <f t="shared" si="1"/>
        <v>6305</v>
      </c>
      <c r="T27" s="156"/>
      <c r="U27" s="154">
        <f t="shared" si="2"/>
        <v>2282</v>
      </c>
      <c r="V27" s="154">
        <f t="shared" si="3"/>
        <v>10328</v>
      </c>
      <c r="W27" s="155">
        <f t="shared" si="4"/>
        <v>12610</v>
      </c>
    </row>
    <row r="28" spans="1:23" ht="29.25">
      <c r="A28" s="255" t="s">
        <v>7</v>
      </c>
      <c r="B28" s="152" t="s">
        <v>8</v>
      </c>
      <c r="C28" s="149" t="s">
        <v>1988</v>
      </c>
      <c r="D28" s="148"/>
      <c r="E28" s="149"/>
      <c r="F28" s="149" t="s">
        <v>1041</v>
      </c>
      <c r="G28" s="149" t="s">
        <v>1042</v>
      </c>
      <c r="H28" s="305" t="s">
        <v>1408</v>
      </c>
      <c r="I28" s="179">
        <v>89082730</v>
      </c>
      <c r="J28" s="308" t="s">
        <v>12</v>
      </c>
      <c r="K28" s="149">
        <v>1.5</v>
      </c>
      <c r="L28" s="156"/>
      <c r="M28" s="157">
        <f>4604-2979</f>
        <v>1625</v>
      </c>
      <c r="N28" s="157">
        <f>18642-12030</f>
        <v>6612</v>
      </c>
      <c r="O28" s="155">
        <f t="shared" si="0"/>
        <v>8237</v>
      </c>
      <c r="P28" s="156"/>
      <c r="Q28" s="157">
        <f>4604-2979</f>
        <v>1625</v>
      </c>
      <c r="R28" s="157">
        <f>18642-12030</f>
        <v>6612</v>
      </c>
      <c r="S28" s="155">
        <f t="shared" si="1"/>
        <v>8237</v>
      </c>
      <c r="T28" s="156"/>
      <c r="U28" s="154">
        <f t="shared" si="2"/>
        <v>3250</v>
      </c>
      <c r="V28" s="154">
        <f t="shared" si="3"/>
        <v>13224</v>
      </c>
      <c r="W28" s="155">
        <f t="shared" si="4"/>
        <v>16474</v>
      </c>
    </row>
    <row r="29" spans="1:23" ht="29.25">
      <c r="A29" s="255" t="s">
        <v>7</v>
      </c>
      <c r="B29" s="152" t="s">
        <v>8</v>
      </c>
      <c r="C29" s="149" t="s">
        <v>1989</v>
      </c>
      <c r="D29" s="148"/>
      <c r="E29" s="149">
        <v>21</v>
      </c>
      <c r="F29" s="149" t="s">
        <v>1041</v>
      </c>
      <c r="G29" s="149" t="s">
        <v>1042</v>
      </c>
      <c r="H29" s="305" t="s">
        <v>1409</v>
      </c>
      <c r="I29" s="179">
        <v>83907834</v>
      </c>
      <c r="J29" s="308" t="s">
        <v>12</v>
      </c>
      <c r="K29" s="149">
        <v>0.7</v>
      </c>
      <c r="L29" s="156"/>
      <c r="M29" s="157">
        <f>2391-1233</f>
        <v>1158</v>
      </c>
      <c r="N29" s="157">
        <f>10640-5430</f>
        <v>5210</v>
      </c>
      <c r="O29" s="155">
        <f t="shared" si="0"/>
        <v>6368</v>
      </c>
      <c r="P29" s="156"/>
      <c r="Q29" s="157">
        <f>2391-1233</f>
        <v>1158</v>
      </c>
      <c r="R29" s="157">
        <f>10640-5430</f>
        <v>5210</v>
      </c>
      <c r="S29" s="155">
        <f t="shared" si="1"/>
        <v>6368</v>
      </c>
      <c r="T29" s="156"/>
      <c r="U29" s="154">
        <f t="shared" si="2"/>
        <v>2316</v>
      </c>
      <c r="V29" s="154">
        <f t="shared" si="3"/>
        <v>10420</v>
      </c>
      <c r="W29" s="155">
        <f t="shared" si="4"/>
        <v>12736</v>
      </c>
    </row>
    <row r="30" spans="1:23" ht="29.25">
      <c r="A30" s="255" t="s">
        <v>7</v>
      </c>
      <c r="B30" s="152" t="s">
        <v>8</v>
      </c>
      <c r="C30" s="149" t="s">
        <v>1990</v>
      </c>
      <c r="D30" s="148"/>
      <c r="E30" s="149"/>
      <c r="F30" s="149" t="s">
        <v>1041</v>
      </c>
      <c r="G30" s="149" t="s">
        <v>1042</v>
      </c>
      <c r="H30" s="306" t="s">
        <v>1410</v>
      </c>
      <c r="I30" s="179">
        <v>95799852</v>
      </c>
      <c r="J30" s="308" t="s">
        <v>12</v>
      </c>
      <c r="K30" s="256">
        <v>2</v>
      </c>
      <c r="L30" s="156"/>
      <c r="M30" s="157">
        <f>10982-8136</f>
        <v>2846</v>
      </c>
      <c r="N30" s="157">
        <f>41187-30943</f>
        <v>10244</v>
      </c>
      <c r="O30" s="155">
        <f t="shared" si="0"/>
        <v>13090</v>
      </c>
      <c r="P30" s="156"/>
      <c r="Q30" s="157">
        <f>10982-8136</f>
        <v>2846</v>
      </c>
      <c r="R30" s="157">
        <f>41187-30943</f>
        <v>10244</v>
      </c>
      <c r="S30" s="155">
        <f t="shared" si="1"/>
        <v>13090</v>
      </c>
      <c r="T30" s="156"/>
      <c r="U30" s="154">
        <f t="shared" si="2"/>
        <v>5692</v>
      </c>
      <c r="V30" s="154">
        <f t="shared" si="3"/>
        <v>20488</v>
      </c>
      <c r="W30" s="155">
        <f t="shared" si="4"/>
        <v>26180</v>
      </c>
    </row>
    <row r="31" spans="1:23" ht="29.25">
      <c r="A31" s="255" t="s">
        <v>7</v>
      </c>
      <c r="B31" s="152" t="s">
        <v>8</v>
      </c>
      <c r="C31" s="149" t="s">
        <v>1991</v>
      </c>
      <c r="D31" s="148"/>
      <c r="E31" s="149"/>
      <c r="F31" s="149" t="s">
        <v>1041</v>
      </c>
      <c r="G31" s="149" t="s">
        <v>1042</v>
      </c>
      <c r="H31" s="305" t="s">
        <v>1411</v>
      </c>
      <c r="I31" s="179">
        <v>83907904</v>
      </c>
      <c r="J31" s="308" t="s">
        <v>12</v>
      </c>
      <c r="K31" s="149">
        <v>2.8</v>
      </c>
      <c r="L31" s="156"/>
      <c r="M31" s="157">
        <f>6026-3220</f>
        <v>2806</v>
      </c>
      <c r="N31" s="157">
        <f>26756-14093</f>
        <v>12663</v>
      </c>
      <c r="O31" s="155">
        <f t="shared" si="0"/>
        <v>15469</v>
      </c>
      <c r="P31" s="156"/>
      <c r="Q31" s="157">
        <f>6026-3220</f>
        <v>2806</v>
      </c>
      <c r="R31" s="157">
        <f>26756-14093</f>
        <v>12663</v>
      </c>
      <c r="S31" s="155">
        <f t="shared" si="1"/>
        <v>15469</v>
      </c>
      <c r="T31" s="156"/>
      <c r="U31" s="154">
        <f t="shared" si="2"/>
        <v>5612</v>
      </c>
      <c r="V31" s="154">
        <f t="shared" si="3"/>
        <v>25326</v>
      </c>
      <c r="W31" s="155">
        <f t="shared" si="4"/>
        <v>30938</v>
      </c>
    </row>
    <row r="32" spans="1:23" ht="29.25">
      <c r="A32" s="255" t="s">
        <v>7</v>
      </c>
      <c r="B32" s="152" t="s">
        <v>8</v>
      </c>
      <c r="C32" s="149" t="s">
        <v>1992</v>
      </c>
      <c r="D32" s="148"/>
      <c r="E32" s="149"/>
      <c r="F32" s="149" t="s">
        <v>1041</v>
      </c>
      <c r="G32" s="149" t="s">
        <v>1042</v>
      </c>
      <c r="H32" s="305" t="s">
        <v>1412</v>
      </c>
      <c r="I32" s="179">
        <v>83907916</v>
      </c>
      <c r="J32" s="308" t="s">
        <v>12</v>
      </c>
      <c r="K32" s="149">
        <v>1.5</v>
      </c>
      <c r="L32" s="156"/>
      <c r="M32" s="157">
        <f>3049-1667</f>
        <v>1382</v>
      </c>
      <c r="N32" s="157">
        <f>16189-8662</f>
        <v>7527</v>
      </c>
      <c r="O32" s="155">
        <f t="shared" si="0"/>
        <v>8909</v>
      </c>
      <c r="P32" s="156"/>
      <c r="Q32" s="157">
        <f>3049-1667</f>
        <v>1382</v>
      </c>
      <c r="R32" s="157">
        <f>16189-8662</f>
        <v>7527</v>
      </c>
      <c r="S32" s="155">
        <f t="shared" si="1"/>
        <v>8909</v>
      </c>
      <c r="T32" s="156"/>
      <c r="U32" s="154">
        <f t="shared" si="2"/>
        <v>2764</v>
      </c>
      <c r="V32" s="154">
        <f t="shared" si="3"/>
        <v>15054</v>
      </c>
      <c r="W32" s="155">
        <f t="shared" si="4"/>
        <v>17818</v>
      </c>
    </row>
    <row r="33" spans="1:23" ht="29.25">
      <c r="A33" s="255" t="s">
        <v>7</v>
      </c>
      <c r="B33" s="152" t="s">
        <v>8</v>
      </c>
      <c r="C33" s="149" t="s">
        <v>1993</v>
      </c>
      <c r="D33" s="148"/>
      <c r="E33" s="149"/>
      <c r="F33" s="149" t="s">
        <v>1041</v>
      </c>
      <c r="G33" s="149" t="s">
        <v>1042</v>
      </c>
      <c r="H33" s="306" t="s">
        <v>1413</v>
      </c>
      <c r="I33" s="179">
        <v>83907918</v>
      </c>
      <c r="J33" s="308" t="s">
        <v>12</v>
      </c>
      <c r="K33" s="149">
        <v>1.3</v>
      </c>
      <c r="L33" s="156"/>
      <c r="M33" s="157">
        <f>3083-1562</f>
        <v>1521</v>
      </c>
      <c r="N33" s="157">
        <f>14520-7454</f>
        <v>7066</v>
      </c>
      <c r="O33" s="155">
        <f t="shared" si="0"/>
        <v>8587</v>
      </c>
      <c r="P33" s="156"/>
      <c r="Q33" s="157">
        <f>3083-1562</f>
        <v>1521</v>
      </c>
      <c r="R33" s="157">
        <f>14520-7454</f>
        <v>7066</v>
      </c>
      <c r="S33" s="155">
        <f t="shared" si="1"/>
        <v>8587</v>
      </c>
      <c r="T33" s="156"/>
      <c r="U33" s="154">
        <f t="shared" si="2"/>
        <v>3042</v>
      </c>
      <c r="V33" s="154">
        <f t="shared" si="3"/>
        <v>14132</v>
      </c>
      <c r="W33" s="155">
        <f t="shared" si="4"/>
        <v>17174</v>
      </c>
    </row>
    <row r="34" spans="1:23" ht="29.25">
      <c r="A34" s="255" t="s">
        <v>7</v>
      </c>
      <c r="B34" s="152" t="s">
        <v>8</v>
      </c>
      <c r="C34" s="149" t="s">
        <v>1995</v>
      </c>
      <c r="D34" s="148"/>
      <c r="E34" s="149"/>
      <c r="F34" s="149" t="s">
        <v>1041</v>
      </c>
      <c r="G34" s="149" t="s">
        <v>1042</v>
      </c>
      <c r="H34" s="305" t="s">
        <v>1415</v>
      </c>
      <c r="I34" s="179">
        <v>16873800</v>
      </c>
      <c r="J34" s="308" t="s">
        <v>12</v>
      </c>
      <c r="K34" s="149">
        <v>1.1</v>
      </c>
      <c r="L34" s="156"/>
      <c r="M34" s="157">
        <f>13781-12629</f>
        <v>1152</v>
      </c>
      <c r="N34" s="157">
        <f>70347-65630</f>
        <v>4717</v>
      </c>
      <c r="O34" s="155">
        <f t="shared" si="0"/>
        <v>5869</v>
      </c>
      <c r="P34" s="156"/>
      <c r="Q34" s="157">
        <f>13781-12629</f>
        <v>1152</v>
      </c>
      <c r="R34" s="157">
        <f>70347-65630</f>
        <v>4717</v>
      </c>
      <c r="S34" s="155">
        <f t="shared" si="1"/>
        <v>5869</v>
      </c>
      <c r="T34" s="156"/>
      <c r="U34" s="154">
        <f t="shared" si="2"/>
        <v>2304</v>
      </c>
      <c r="V34" s="154">
        <f t="shared" si="3"/>
        <v>9434</v>
      </c>
      <c r="W34" s="155">
        <f t="shared" si="4"/>
        <v>11738</v>
      </c>
    </row>
    <row r="35" spans="1:23" ht="29.25">
      <c r="A35" s="255" t="s">
        <v>7</v>
      </c>
      <c r="B35" s="152" t="s">
        <v>8</v>
      </c>
      <c r="C35" s="149" t="s">
        <v>1996</v>
      </c>
      <c r="D35" s="148"/>
      <c r="E35" s="149"/>
      <c r="F35" s="149" t="s">
        <v>1041</v>
      </c>
      <c r="G35" s="149" t="s">
        <v>1042</v>
      </c>
      <c r="H35" s="306" t="s">
        <v>1416</v>
      </c>
      <c r="I35" s="179">
        <v>117193</v>
      </c>
      <c r="J35" s="308" t="s">
        <v>12</v>
      </c>
      <c r="K35" s="149">
        <v>0.4</v>
      </c>
      <c r="L35" s="156"/>
      <c r="M35" s="157">
        <f>4563-3694</f>
        <v>869</v>
      </c>
      <c r="N35" s="157">
        <f>18061-14996</f>
        <v>3065</v>
      </c>
      <c r="O35" s="155">
        <f t="shared" si="0"/>
        <v>3934</v>
      </c>
      <c r="P35" s="156"/>
      <c r="Q35" s="157">
        <f>4563-3694</f>
        <v>869</v>
      </c>
      <c r="R35" s="157">
        <f>18061-14996</f>
        <v>3065</v>
      </c>
      <c r="S35" s="155">
        <f t="shared" si="1"/>
        <v>3934</v>
      </c>
      <c r="T35" s="156"/>
      <c r="U35" s="154">
        <f t="shared" si="2"/>
        <v>1738</v>
      </c>
      <c r="V35" s="154">
        <f t="shared" si="3"/>
        <v>6130</v>
      </c>
      <c r="W35" s="155">
        <f t="shared" si="4"/>
        <v>7868</v>
      </c>
    </row>
    <row r="36" spans="1:23" ht="43.5">
      <c r="A36" s="255" t="s">
        <v>7</v>
      </c>
      <c r="B36" s="152" t="s">
        <v>8</v>
      </c>
      <c r="C36" s="149" t="s">
        <v>1997</v>
      </c>
      <c r="D36" s="148"/>
      <c r="E36" s="149"/>
      <c r="F36" s="149" t="s">
        <v>1041</v>
      </c>
      <c r="G36" s="149" t="s">
        <v>1042</v>
      </c>
      <c r="H36" s="305" t="s">
        <v>1417</v>
      </c>
      <c r="I36" s="179">
        <v>1401623</v>
      </c>
      <c r="J36" s="308" t="s">
        <v>12</v>
      </c>
      <c r="K36" s="149">
        <v>1.5</v>
      </c>
      <c r="L36" s="156"/>
      <c r="M36" s="157">
        <f>13527-11782</f>
        <v>1745</v>
      </c>
      <c r="N36" s="157">
        <f>44782-37397</f>
        <v>7385</v>
      </c>
      <c r="O36" s="155">
        <f t="shared" si="0"/>
        <v>9130</v>
      </c>
      <c r="P36" s="156"/>
      <c r="Q36" s="157">
        <f>13527-11782</f>
        <v>1745</v>
      </c>
      <c r="R36" s="157">
        <f>44782-37397</f>
        <v>7385</v>
      </c>
      <c r="S36" s="155">
        <f t="shared" si="1"/>
        <v>9130</v>
      </c>
      <c r="T36" s="156"/>
      <c r="U36" s="154">
        <f t="shared" si="2"/>
        <v>3490</v>
      </c>
      <c r="V36" s="154">
        <f t="shared" si="3"/>
        <v>14770</v>
      </c>
      <c r="W36" s="155">
        <f t="shared" si="4"/>
        <v>18260</v>
      </c>
    </row>
    <row r="37" spans="1:23" ht="29.25">
      <c r="A37" s="255" t="s">
        <v>7</v>
      </c>
      <c r="B37" s="152" t="s">
        <v>8</v>
      </c>
      <c r="C37" s="149" t="s">
        <v>1949</v>
      </c>
      <c r="D37" s="148"/>
      <c r="E37" s="149">
        <v>6</v>
      </c>
      <c r="F37" s="149" t="s">
        <v>1041</v>
      </c>
      <c r="G37" s="149" t="s">
        <v>1042</v>
      </c>
      <c r="H37" s="305" t="s">
        <v>1367</v>
      </c>
      <c r="I37" s="179">
        <v>83111238</v>
      </c>
      <c r="J37" s="308" t="s">
        <v>12</v>
      </c>
      <c r="K37" s="149">
        <v>0.7</v>
      </c>
      <c r="L37" s="156"/>
      <c r="M37" s="157">
        <f>4363-3579</f>
        <v>784</v>
      </c>
      <c r="N37" s="157">
        <f>17264-14285</f>
        <v>2979</v>
      </c>
      <c r="O37" s="155">
        <f t="shared" si="0"/>
        <v>3763</v>
      </c>
      <c r="P37" s="156"/>
      <c r="Q37" s="157">
        <f>4363-3579</f>
        <v>784</v>
      </c>
      <c r="R37" s="157">
        <f>17264-14285</f>
        <v>2979</v>
      </c>
      <c r="S37" s="155">
        <f t="shared" si="1"/>
        <v>3763</v>
      </c>
      <c r="T37" s="156"/>
      <c r="U37" s="154">
        <f t="shared" si="2"/>
        <v>1568</v>
      </c>
      <c r="V37" s="154">
        <f t="shared" si="3"/>
        <v>5958</v>
      </c>
      <c r="W37" s="155">
        <f t="shared" si="4"/>
        <v>7526</v>
      </c>
    </row>
    <row r="38" spans="1:23" ht="29.25">
      <c r="A38" s="255" t="s">
        <v>7</v>
      </c>
      <c r="B38" s="152" t="s">
        <v>8</v>
      </c>
      <c r="C38" s="149" t="s">
        <v>1950</v>
      </c>
      <c r="D38" s="148"/>
      <c r="E38" s="149"/>
      <c r="F38" s="149" t="s">
        <v>1041</v>
      </c>
      <c r="G38" s="149" t="s">
        <v>1042</v>
      </c>
      <c r="H38" s="306" t="s">
        <v>1368</v>
      </c>
      <c r="I38" s="179">
        <v>89082727</v>
      </c>
      <c r="J38" s="308" t="s">
        <v>12</v>
      </c>
      <c r="K38" s="149">
        <v>2.2</v>
      </c>
      <c r="L38" s="156"/>
      <c r="M38" s="157">
        <f>2640-1732</f>
        <v>908</v>
      </c>
      <c r="N38" s="157">
        <f>11061-6955</f>
        <v>4106</v>
      </c>
      <c r="O38" s="155">
        <f t="shared" si="0"/>
        <v>5014</v>
      </c>
      <c r="P38" s="156"/>
      <c r="Q38" s="157">
        <f>2640-1732</f>
        <v>908</v>
      </c>
      <c r="R38" s="157">
        <f>11061-6955</f>
        <v>4106</v>
      </c>
      <c r="S38" s="155">
        <f t="shared" si="1"/>
        <v>5014</v>
      </c>
      <c r="T38" s="156"/>
      <c r="U38" s="154">
        <f t="shared" si="2"/>
        <v>1816</v>
      </c>
      <c r="V38" s="154">
        <f t="shared" si="3"/>
        <v>8212</v>
      </c>
      <c r="W38" s="155">
        <f t="shared" si="4"/>
        <v>10028</v>
      </c>
    </row>
    <row r="39" spans="1:23" ht="29.25">
      <c r="A39" s="255" t="s">
        <v>7</v>
      </c>
      <c r="B39" s="152" t="s">
        <v>8</v>
      </c>
      <c r="C39" s="149" t="s">
        <v>2057</v>
      </c>
      <c r="D39" s="148"/>
      <c r="E39" s="149"/>
      <c r="F39" s="149" t="s">
        <v>1041</v>
      </c>
      <c r="G39" s="149" t="s">
        <v>1042</v>
      </c>
      <c r="H39" s="305" t="s">
        <v>1674</v>
      </c>
      <c r="I39" s="179">
        <v>1499906</v>
      </c>
      <c r="J39" s="308" t="s">
        <v>12</v>
      </c>
      <c r="K39" s="149">
        <v>2.2</v>
      </c>
      <c r="L39" s="156"/>
      <c r="M39" s="157">
        <f>2465-2120</f>
        <v>345</v>
      </c>
      <c r="N39" s="157">
        <f>10625-9079</f>
        <v>1546</v>
      </c>
      <c r="O39" s="155">
        <f t="shared" si="0"/>
        <v>1891</v>
      </c>
      <c r="P39" s="156"/>
      <c r="Q39" s="157">
        <f>2465-2120</f>
        <v>345</v>
      </c>
      <c r="R39" s="157">
        <f>10625-9079</f>
        <v>1546</v>
      </c>
      <c r="S39" s="155">
        <f t="shared" si="1"/>
        <v>1891</v>
      </c>
      <c r="T39" s="156"/>
      <c r="U39" s="154">
        <f t="shared" si="2"/>
        <v>690</v>
      </c>
      <c r="V39" s="154">
        <f t="shared" si="3"/>
        <v>3092</v>
      </c>
      <c r="W39" s="155">
        <f t="shared" si="4"/>
        <v>3782</v>
      </c>
    </row>
    <row r="40" spans="1:23" ht="29.25">
      <c r="A40" s="255" t="s">
        <v>7</v>
      </c>
      <c r="B40" s="152" t="s">
        <v>8</v>
      </c>
      <c r="C40" s="149" t="s">
        <v>1952</v>
      </c>
      <c r="D40" s="148"/>
      <c r="E40" s="149">
        <v>32</v>
      </c>
      <c r="F40" s="149" t="s">
        <v>1041</v>
      </c>
      <c r="G40" s="149" t="s">
        <v>1042</v>
      </c>
      <c r="H40" s="305" t="s">
        <v>1369</v>
      </c>
      <c r="I40" s="179">
        <v>112480</v>
      </c>
      <c r="J40" s="308" t="s">
        <v>12</v>
      </c>
      <c r="K40" s="149">
        <v>0.7</v>
      </c>
      <c r="L40" s="156"/>
      <c r="M40" s="157">
        <f>6979-5904</f>
        <v>1075</v>
      </c>
      <c r="N40" s="157">
        <f>32230-27142</f>
        <v>5088</v>
      </c>
      <c r="O40" s="155">
        <f t="shared" si="0"/>
        <v>6163</v>
      </c>
      <c r="P40" s="156"/>
      <c r="Q40" s="157">
        <f>6979-5904</f>
        <v>1075</v>
      </c>
      <c r="R40" s="157">
        <f>32230-27142</f>
        <v>5088</v>
      </c>
      <c r="S40" s="155">
        <f t="shared" si="1"/>
        <v>6163</v>
      </c>
      <c r="T40" s="156"/>
      <c r="U40" s="154">
        <f t="shared" si="2"/>
        <v>2150</v>
      </c>
      <c r="V40" s="154">
        <f t="shared" si="3"/>
        <v>10176</v>
      </c>
      <c r="W40" s="155">
        <f t="shared" si="4"/>
        <v>12326</v>
      </c>
    </row>
    <row r="41" spans="1:23" ht="29.25">
      <c r="A41" s="255" t="s">
        <v>7</v>
      </c>
      <c r="B41" s="152" t="s">
        <v>8</v>
      </c>
      <c r="C41" s="149" t="s">
        <v>1951</v>
      </c>
      <c r="D41" s="148"/>
      <c r="E41" s="149"/>
      <c r="F41" s="149" t="s">
        <v>1041</v>
      </c>
      <c r="G41" s="149" t="s">
        <v>1042</v>
      </c>
      <c r="H41" s="306" t="s">
        <v>1370</v>
      </c>
      <c r="I41" s="179">
        <v>1494932</v>
      </c>
      <c r="J41" s="308" t="s">
        <v>12</v>
      </c>
      <c r="K41" s="149">
        <v>0.7</v>
      </c>
      <c r="L41" s="156"/>
      <c r="M41" s="157">
        <f>9004-7388</f>
        <v>1616</v>
      </c>
      <c r="N41" s="157">
        <f>37318-30643</f>
        <v>6675</v>
      </c>
      <c r="O41" s="155">
        <f t="shared" si="0"/>
        <v>8291</v>
      </c>
      <c r="P41" s="156"/>
      <c r="Q41" s="157">
        <f>9004-7388</f>
        <v>1616</v>
      </c>
      <c r="R41" s="157">
        <f>37318-30643</f>
        <v>6675</v>
      </c>
      <c r="S41" s="155">
        <f t="shared" si="1"/>
        <v>8291</v>
      </c>
      <c r="T41" s="156"/>
      <c r="U41" s="154">
        <f t="shared" si="2"/>
        <v>3232</v>
      </c>
      <c r="V41" s="154">
        <f t="shared" si="3"/>
        <v>13350</v>
      </c>
      <c r="W41" s="155">
        <f t="shared" si="4"/>
        <v>16582</v>
      </c>
    </row>
    <row r="42" spans="1:23" ht="29.25">
      <c r="A42" s="255" t="s">
        <v>7</v>
      </c>
      <c r="B42" s="152" t="s">
        <v>8</v>
      </c>
      <c r="C42" s="149" t="s">
        <v>1953</v>
      </c>
      <c r="D42" s="148"/>
      <c r="E42" s="149">
        <v>5</v>
      </c>
      <c r="F42" s="149" t="s">
        <v>1041</v>
      </c>
      <c r="G42" s="149" t="s">
        <v>1042</v>
      </c>
      <c r="H42" s="305" t="s">
        <v>1371</v>
      </c>
      <c r="I42" s="179">
        <v>89083329</v>
      </c>
      <c r="J42" s="308" t="s">
        <v>12</v>
      </c>
      <c r="K42" s="149">
        <v>1.5</v>
      </c>
      <c r="L42" s="156"/>
      <c r="M42" s="157">
        <f>9509-7088</f>
        <v>2421</v>
      </c>
      <c r="N42" s="157">
        <f>38225-28153</f>
        <v>10072</v>
      </c>
      <c r="O42" s="155">
        <f t="shared" si="0"/>
        <v>12493</v>
      </c>
      <c r="P42" s="156"/>
      <c r="Q42" s="157">
        <f>9509-7088</f>
        <v>2421</v>
      </c>
      <c r="R42" s="157">
        <f>38225-28153</f>
        <v>10072</v>
      </c>
      <c r="S42" s="155">
        <f t="shared" si="1"/>
        <v>12493</v>
      </c>
      <c r="T42" s="156"/>
      <c r="U42" s="154">
        <f t="shared" si="2"/>
        <v>4842</v>
      </c>
      <c r="V42" s="154">
        <f t="shared" si="3"/>
        <v>20144</v>
      </c>
      <c r="W42" s="155">
        <f t="shared" si="4"/>
        <v>24986</v>
      </c>
    </row>
    <row r="43" spans="1:23" ht="29.25">
      <c r="A43" s="255" t="s">
        <v>7</v>
      </c>
      <c r="B43" s="152" t="s">
        <v>8</v>
      </c>
      <c r="C43" s="149" t="s">
        <v>1954</v>
      </c>
      <c r="D43" s="148"/>
      <c r="E43" s="149">
        <v>3</v>
      </c>
      <c r="F43" s="149" t="s">
        <v>1041</v>
      </c>
      <c r="G43" s="149" t="s">
        <v>1042</v>
      </c>
      <c r="H43" s="305" t="s">
        <v>1372</v>
      </c>
      <c r="I43" s="179">
        <v>1393870</v>
      </c>
      <c r="J43" s="308" t="s">
        <v>12</v>
      </c>
      <c r="K43" s="149">
        <v>2.2</v>
      </c>
      <c r="L43" s="156"/>
      <c r="M43" s="157">
        <f>8072-6866</f>
        <v>1206</v>
      </c>
      <c r="N43" s="157">
        <f>27193-22522</f>
        <v>4671</v>
      </c>
      <c r="O43" s="155">
        <f t="shared" si="0"/>
        <v>5877</v>
      </c>
      <c r="P43" s="156"/>
      <c r="Q43" s="157">
        <f>8072-6866</f>
        <v>1206</v>
      </c>
      <c r="R43" s="157">
        <f>27193-22522</f>
        <v>4671</v>
      </c>
      <c r="S43" s="155">
        <f t="shared" si="1"/>
        <v>5877</v>
      </c>
      <c r="T43" s="156"/>
      <c r="U43" s="154">
        <f t="shared" si="2"/>
        <v>2412</v>
      </c>
      <c r="V43" s="154">
        <f t="shared" si="3"/>
        <v>9342</v>
      </c>
      <c r="W43" s="155">
        <f t="shared" si="4"/>
        <v>11754</v>
      </c>
    </row>
    <row r="44" spans="1:23" ht="43.5">
      <c r="A44" s="255" t="s">
        <v>7</v>
      </c>
      <c r="B44" s="152" t="s">
        <v>8</v>
      </c>
      <c r="C44" s="149" t="s">
        <v>1955</v>
      </c>
      <c r="D44" s="148"/>
      <c r="E44" s="149">
        <v>2</v>
      </c>
      <c r="F44" s="149" t="s">
        <v>1041</v>
      </c>
      <c r="G44" s="149" t="s">
        <v>1042</v>
      </c>
      <c r="H44" s="306" t="s">
        <v>1373</v>
      </c>
      <c r="I44" s="179">
        <v>83246621</v>
      </c>
      <c r="J44" s="308" t="s">
        <v>12</v>
      </c>
      <c r="K44" s="149">
        <v>2.2</v>
      </c>
      <c r="L44" s="156"/>
      <c r="M44" s="157">
        <f>11206-8847</f>
        <v>2359</v>
      </c>
      <c r="N44" s="157">
        <f>41918-33697</f>
        <v>8221</v>
      </c>
      <c r="O44" s="155">
        <f t="shared" si="0"/>
        <v>10580</v>
      </c>
      <c r="P44" s="156"/>
      <c r="Q44" s="157">
        <f>11206-8847</f>
        <v>2359</v>
      </c>
      <c r="R44" s="157">
        <f>41918-33697</f>
        <v>8221</v>
      </c>
      <c r="S44" s="155">
        <f t="shared" si="1"/>
        <v>10580</v>
      </c>
      <c r="T44" s="156"/>
      <c r="U44" s="154">
        <f t="shared" si="2"/>
        <v>4718</v>
      </c>
      <c r="V44" s="154">
        <f t="shared" si="3"/>
        <v>16442</v>
      </c>
      <c r="W44" s="155">
        <f t="shared" si="4"/>
        <v>21160</v>
      </c>
    </row>
    <row r="45" spans="1:23" ht="29.25">
      <c r="A45" s="255" t="s">
        <v>7</v>
      </c>
      <c r="B45" s="152" t="s">
        <v>8</v>
      </c>
      <c r="C45" s="149" t="s">
        <v>1956</v>
      </c>
      <c r="D45" s="148"/>
      <c r="E45" s="149"/>
      <c r="F45" s="149" t="s">
        <v>1041</v>
      </c>
      <c r="G45" s="149" t="s">
        <v>1042</v>
      </c>
      <c r="H45" s="305" t="s">
        <v>1374</v>
      </c>
      <c r="I45" s="179">
        <v>1394971</v>
      </c>
      <c r="J45" s="308" t="s">
        <v>12</v>
      </c>
      <c r="K45" s="149">
        <v>2.2</v>
      </c>
      <c r="L45" s="156"/>
      <c r="M45" s="157">
        <f>8523-7651</f>
        <v>872</v>
      </c>
      <c r="N45" s="157">
        <f>27996-24110</f>
        <v>3886</v>
      </c>
      <c r="O45" s="155">
        <f t="shared" si="0"/>
        <v>4758</v>
      </c>
      <c r="P45" s="156"/>
      <c r="Q45" s="157">
        <f>8523-7651</f>
        <v>872</v>
      </c>
      <c r="R45" s="157">
        <f>27996-24110</f>
        <v>3886</v>
      </c>
      <c r="S45" s="155">
        <f t="shared" si="1"/>
        <v>4758</v>
      </c>
      <c r="T45" s="156"/>
      <c r="U45" s="154">
        <f t="shared" si="2"/>
        <v>1744</v>
      </c>
      <c r="V45" s="154">
        <f t="shared" si="3"/>
        <v>7772</v>
      </c>
      <c r="W45" s="155">
        <f t="shared" si="4"/>
        <v>9516</v>
      </c>
    </row>
    <row r="46" spans="1:23" ht="29.25">
      <c r="A46" s="255" t="s">
        <v>7</v>
      </c>
      <c r="B46" s="152" t="s">
        <v>8</v>
      </c>
      <c r="C46" s="149" t="s">
        <v>1957</v>
      </c>
      <c r="D46" s="148"/>
      <c r="E46" s="149"/>
      <c r="F46" s="149" t="s">
        <v>1041</v>
      </c>
      <c r="G46" s="149" t="s">
        <v>1042</v>
      </c>
      <c r="H46" s="305" t="s">
        <v>1375</v>
      </c>
      <c r="I46" s="179">
        <v>1394955</v>
      </c>
      <c r="J46" s="308" t="s">
        <v>12</v>
      </c>
      <c r="K46" s="149">
        <v>2.2</v>
      </c>
      <c r="L46" s="156"/>
      <c r="M46" s="157">
        <f>11089-9189</f>
        <v>1900</v>
      </c>
      <c r="N46" s="157">
        <f>42690-34536</f>
        <v>8154</v>
      </c>
      <c r="O46" s="155">
        <f t="shared" si="0"/>
        <v>10054</v>
      </c>
      <c r="P46" s="156"/>
      <c r="Q46" s="157">
        <f>11089-9189</f>
        <v>1900</v>
      </c>
      <c r="R46" s="157">
        <f>42690-34536</f>
        <v>8154</v>
      </c>
      <c r="S46" s="155">
        <f t="shared" si="1"/>
        <v>10054</v>
      </c>
      <c r="T46" s="156"/>
      <c r="U46" s="154">
        <f t="shared" si="2"/>
        <v>3800</v>
      </c>
      <c r="V46" s="154">
        <f t="shared" si="3"/>
        <v>16308</v>
      </c>
      <c r="W46" s="155">
        <f t="shared" si="4"/>
        <v>20108</v>
      </c>
    </row>
    <row r="47" spans="1:23" ht="29.25">
      <c r="A47" s="255" t="s">
        <v>7</v>
      </c>
      <c r="B47" s="152" t="s">
        <v>8</v>
      </c>
      <c r="C47" s="149" t="s">
        <v>1958</v>
      </c>
      <c r="D47" s="148"/>
      <c r="E47" s="149">
        <v>2</v>
      </c>
      <c r="F47" s="149" t="s">
        <v>1041</v>
      </c>
      <c r="G47" s="149" t="s">
        <v>1042</v>
      </c>
      <c r="H47" s="306" t="s">
        <v>1376</v>
      </c>
      <c r="I47" s="179">
        <v>1401622</v>
      </c>
      <c r="J47" s="308" t="s">
        <v>12</v>
      </c>
      <c r="K47" s="149">
        <v>2.2</v>
      </c>
      <c r="L47" s="156"/>
      <c r="M47" s="157">
        <f>10978-10112</f>
        <v>866</v>
      </c>
      <c r="N47" s="157">
        <f>28215-24561</f>
        <v>3654</v>
      </c>
      <c r="O47" s="155">
        <f t="shared" si="0"/>
        <v>4520</v>
      </c>
      <c r="P47" s="156"/>
      <c r="Q47" s="157">
        <f>10978-10112</f>
        <v>866</v>
      </c>
      <c r="R47" s="157">
        <f>28215-24561</f>
        <v>3654</v>
      </c>
      <c r="S47" s="155">
        <f t="shared" si="1"/>
        <v>4520</v>
      </c>
      <c r="T47" s="156"/>
      <c r="U47" s="154">
        <f t="shared" si="2"/>
        <v>1732</v>
      </c>
      <c r="V47" s="154">
        <f t="shared" si="3"/>
        <v>7308</v>
      </c>
      <c r="W47" s="155">
        <f t="shared" si="4"/>
        <v>9040</v>
      </c>
    </row>
    <row r="48" spans="1:23" ht="29.25">
      <c r="A48" s="255" t="s">
        <v>7</v>
      </c>
      <c r="B48" s="152" t="s">
        <v>8</v>
      </c>
      <c r="C48" s="149" t="s">
        <v>1959</v>
      </c>
      <c r="D48" s="148" t="s">
        <v>39</v>
      </c>
      <c r="E48" s="149"/>
      <c r="F48" s="149" t="s">
        <v>1041</v>
      </c>
      <c r="G48" s="149" t="s">
        <v>1042</v>
      </c>
      <c r="H48" s="305" t="s">
        <v>1377</v>
      </c>
      <c r="I48" s="179">
        <v>94977106</v>
      </c>
      <c r="J48" s="308" t="s">
        <v>12</v>
      </c>
      <c r="K48" s="149">
        <v>6.6</v>
      </c>
      <c r="L48" s="156"/>
      <c r="M48" s="157">
        <f>13021-11145</f>
        <v>1876</v>
      </c>
      <c r="N48" s="157">
        <f>65095-54156</f>
        <v>10939</v>
      </c>
      <c r="O48" s="155">
        <f t="shared" si="0"/>
        <v>12815</v>
      </c>
      <c r="P48" s="156"/>
      <c r="Q48" s="157">
        <f>13021-11145</f>
        <v>1876</v>
      </c>
      <c r="R48" s="157">
        <f>65095-54156</f>
        <v>10939</v>
      </c>
      <c r="S48" s="155">
        <f t="shared" si="1"/>
        <v>12815</v>
      </c>
      <c r="T48" s="156"/>
      <c r="U48" s="154">
        <f t="shared" si="2"/>
        <v>3752</v>
      </c>
      <c r="V48" s="154">
        <f t="shared" si="3"/>
        <v>21878</v>
      </c>
      <c r="W48" s="155">
        <f t="shared" si="4"/>
        <v>25630</v>
      </c>
    </row>
    <row r="49" spans="1:23" ht="29.25">
      <c r="A49" s="255" t="s">
        <v>7</v>
      </c>
      <c r="B49" s="152" t="s">
        <v>8</v>
      </c>
      <c r="C49" s="149" t="s">
        <v>1960</v>
      </c>
      <c r="D49" s="148"/>
      <c r="E49" s="149"/>
      <c r="F49" s="149" t="s">
        <v>1041</v>
      </c>
      <c r="G49" s="149" t="s">
        <v>1042</v>
      </c>
      <c r="H49" s="305" t="s">
        <v>1378</v>
      </c>
      <c r="I49" s="179">
        <v>94356659</v>
      </c>
      <c r="J49" s="308" t="s">
        <v>12</v>
      </c>
      <c r="K49" s="149">
        <v>7.8</v>
      </c>
      <c r="L49" s="156"/>
      <c r="M49" s="157">
        <f>8848-4163</f>
        <v>4685</v>
      </c>
      <c r="N49" s="157">
        <f>38116-16873</f>
        <v>21243</v>
      </c>
      <c r="O49" s="155">
        <f t="shared" si="0"/>
        <v>25928</v>
      </c>
      <c r="P49" s="156"/>
      <c r="Q49" s="157">
        <f>8848-4163</f>
        <v>4685</v>
      </c>
      <c r="R49" s="157">
        <f>38116-16873</f>
        <v>21243</v>
      </c>
      <c r="S49" s="155">
        <f t="shared" si="1"/>
        <v>25928</v>
      </c>
      <c r="T49" s="156"/>
      <c r="U49" s="154">
        <f t="shared" si="2"/>
        <v>9370</v>
      </c>
      <c r="V49" s="154">
        <f t="shared" si="3"/>
        <v>42486</v>
      </c>
      <c r="W49" s="155">
        <f t="shared" si="4"/>
        <v>51856</v>
      </c>
    </row>
    <row r="50" spans="1:23" ht="29.25">
      <c r="A50" s="255" t="s">
        <v>7</v>
      </c>
      <c r="B50" s="152" t="s">
        <v>8</v>
      </c>
      <c r="C50" s="149" t="s">
        <v>1961</v>
      </c>
      <c r="D50" s="148"/>
      <c r="E50" s="149"/>
      <c r="F50" s="149" t="s">
        <v>1041</v>
      </c>
      <c r="G50" s="149" t="s">
        <v>1042</v>
      </c>
      <c r="H50" s="306" t="s">
        <v>1379</v>
      </c>
      <c r="I50" s="179">
        <v>1400176</v>
      </c>
      <c r="J50" s="308" t="s">
        <v>12</v>
      </c>
      <c r="K50" s="256">
        <v>1</v>
      </c>
      <c r="L50" s="156"/>
      <c r="M50" s="157">
        <f>6910-5486</f>
        <v>1424</v>
      </c>
      <c r="N50" s="157">
        <f>28911-23078</f>
        <v>5833</v>
      </c>
      <c r="O50" s="155">
        <f t="shared" si="0"/>
        <v>7257</v>
      </c>
      <c r="P50" s="156"/>
      <c r="Q50" s="157">
        <f>6910-5486</f>
        <v>1424</v>
      </c>
      <c r="R50" s="157">
        <f>28911-23078</f>
        <v>5833</v>
      </c>
      <c r="S50" s="155">
        <f t="shared" si="1"/>
        <v>7257</v>
      </c>
      <c r="T50" s="156"/>
      <c r="U50" s="154">
        <f t="shared" si="2"/>
        <v>2848</v>
      </c>
      <c r="V50" s="154">
        <f t="shared" si="3"/>
        <v>11666</v>
      </c>
      <c r="W50" s="155">
        <f t="shared" si="4"/>
        <v>14514</v>
      </c>
    </row>
    <row r="51" spans="1:23" ht="29.25">
      <c r="A51" s="255" t="s">
        <v>7</v>
      </c>
      <c r="B51" s="152" t="s">
        <v>8</v>
      </c>
      <c r="C51" s="149" t="s">
        <v>1962</v>
      </c>
      <c r="D51" s="148"/>
      <c r="E51" s="149"/>
      <c r="F51" s="149" t="s">
        <v>1041</v>
      </c>
      <c r="G51" s="149" t="s">
        <v>1042</v>
      </c>
      <c r="H51" s="305" t="s">
        <v>1675</v>
      </c>
      <c r="I51" s="179">
        <v>1499917</v>
      </c>
      <c r="J51" s="308" t="s">
        <v>12</v>
      </c>
      <c r="K51" s="149">
        <v>2.2</v>
      </c>
      <c r="L51" s="156"/>
      <c r="M51" s="157">
        <f>16887-13891</f>
        <v>2996</v>
      </c>
      <c r="N51" s="157">
        <f>71897-59323</f>
        <v>12574</v>
      </c>
      <c r="O51" s="155">
        <f t="shared" si="0"/>
        <v>15570</v>
      </c>
      <c r="P51" s="156"/>
      <c r="Q51" s="157">
        <f>16887-13891</f>
        <v>2996</v>
      </c>
      <c r="R51" s="157">
        <f>71897-59323</f>
        <v>12574</v>
      </c>
      <c r="S51" s="155">
        <f t="shared" si="1"/>
        <v>15570</v>
      </c>
      <c r="T51" s="156"/>
      <c r="U51" s="154">
        <f t="shared" si="2"/>
        <v>5992</v>
      </c>
      <c r="V51" s="154">
        <f t="shared" si="3"/>
        <v>25148</v>
      </c>
      <c r="W51" s="155">
        <f t="shared" si="4"/>
        <v>31140</v>
      </c>
    </row>
    <row r="52" spans="1:23" ht="48" customHeight="1">
      <c r="A52" s="255" t="s">
        <v>7</v>
      </c>
      <c r="B52" s="152" t="s">
        <v>8</v>
      </c>
      <c r="C52" s="149" t="s">
        <v>1964</v>
      </c>
      <c r="D52" s="149" t="s">
        <v>920</v>
      </c>
      <c r="E52" s="149"/>
      <c r="F52" s="149" t="s">
        <v>1041</v>
      </c>
      <c r="G52" s="149" t="s">
        <v>1042</v>
      </c>
      <c r="H52" s="305" t="s">
        <v>1381</v>
      </c>
      <c r="I52" s="179">
        <v>83904362</v>
      </c>
      <c r="J52" s="308" t="s">
        <v>12</v>
      </c>
      <c r="K52" s="149">
        <v>1.7</v>
      </c>
      <c r="L52" s="156"/>
      <c r="M52" s="157">
        <f>6000-3044</f>
        <v>2956</v>
      </c>
      <c r="N52" s="157">
        <f>24863-11527</f>
        <v>13336</v>
      </c>
      <c r="O52" s="155">
        <f t="shared" si="0"/>
        <v>16292</v>
      </c>
      <c r="P52" s="156"/>
      <c r="Q52" s="157">
        <f>6000-3044</f>
        <v>2956</v>
      </c>
      <c r="R52" s="157">
        <f>24863-11527</f>
        <v>13336</v>
      </c>
      <c r="S52" s="155">
        <f t="shared" si="1"/>
        <v>16292</v>
      </c>
      <c r="T52" s="156"/>
      <c r="U52" s="154">
        <f t="shared" si="2"/>
        <v>5912</v>
      </c>
      <c r="V52" s="154">
        <f t="shared" si="3"/>
        <v>26672</v>
      </c>
      <c r="W52" s="155">
        <f t="shared" si="4"/>
        <v>32584</v>
      </c>
    </row>
    <row r="53" spans="1:23" ht="43.5">
      <c r="A53" s="255" t="s">
        <v>7</v>
      </c>
      <c r="B53" s="152" t="s">
        <v>8</v>
      </c>
      <c r="C53" s="149" t="s">
        <v>1965</v>
      </c>
      <c r="D53" s="149" t="s">
        <v>1045</v>
      </c>
      <c r="E53" s="149"/>
      <c r="F53" s="149" t="s">
        <v>1041</v>
      </c>
      <c r="G53" s="149" t="s">
        <v>1042</v>
      </c>
      <c r="H53" s="306" t="s">
        <v>1382</v>
      </c>
      <c r="I53" s="179">
        <v>127130</v>
      </c>
      <c r="J53" s="308" t="s">
        <v>12</v>
      </c>
      <c r="K53" s="149">
        <v>0.8</v>
      </c>
      <c r="L53" s="156"/>
      <c r="M53" s="157">
        <f>8969-7829</f>
        <v>1140</v>
      </c>
      <c r="N53" s="157">
        <f>39417-33849</f>
        <v>5568</v>
      </c>
      <c r="O53" s="155">
        <f t="shared" si="0"/>
        <v>6708</v>
      </c>
      <c r="P53" s="156"/>
      <c r="Q53" s="157">
        <f>8969-7829</f>
        <v>1140</v>
      </c>
      <c r="R53" s="157">
        <f>39417-33849</f>
        <v>5568</v>
      </c>
      <c r="S53" s="155">
        <f t="shared" si="1"/>
        <v>6708</v>
      </c>
      <c r="T53" s="156"/>
      <c r="U53" s="154">
        <f t="shared" si="2"/>
        <v>2280</v>
      </c>
      <c r="V53" s="154">
        <f t="shared" si="3"/>
        <v>11136</v>
      </c>
      <c r="W53" s="155">
        <f t="shared" si="4"/>
        <v>13416</v>
      </c>
    </row>
    <row r="54" spans="1:23" ht="43.5">
      <c r="A54" s="255" t="s">
        <v>7</v>
      </c>
      <c r="B54" s="152" t="s">
        <v>8</v>
      </c>
      <c r="C54" s="149" t="s">
        <v>1965</v>
      </c>
      <c r="D54" s="149" t="s">
        <v>1046</v>
      </c>
      <c r="E54" s="149"/>
      <c r="F54" s="149" t="s">
        <v>1041</v>
      </c>
      <c r="G54" s="149" t="s">
        <v>1042</v>
      </c>
      <c r="H54" s="305" t="s">
        <v>1383</v>
      </c>
      <c r="I54" s="179">
        <v>94977108</v>
      </c>
      <c r="J54" s="308" t="s">
        <v>12</v>
      </c>
      <c r="K54" s="149">
        <v>3.4</v>
      </c>
      <c r="L54" s="156"/>
      <c r="M54" s="157">
        <f>4890-180</f>
        <v>4710</v>
      </c>
      <c r="N54" s="157">
        <f>22027-526</f>
        <v>21501</v>
      </c>
      <c r="O54" s="155">
        <f t="shared" si="0"/>
        <v>26211</v>
      </c>
      <c r="P54" s="156"/>
      <c r="Q54" s="157">
        <f>4890-180</f>
        <v>4710</v>
      </c>
      <c r="R54" s="157">
        <f>22027-526</f>
        <v>21501</v>
      </c>
      <c r="S54" s="155">
        <f t="shared" si="1"/>
        <v>26211</v>
      </c>
      <c r="T54" s="156"/>
      <c r="U54" s="154">
        <f t="shared" si="2"/>
        <v>9420</v>
      </c>
      <c r="V54" s="154">
        <f t="shared" si="3"/>
        <v>43002</v>
      </c>
      <c r="W54" s="155">
        <f t="shared" si="4"/>
        <v>52422</v>
      </c>
    </row>
    <row r="55" spans="1:23" ht="29.25">
      <c r="A55" s="255" t="s">
        <v>7</v>
      </c>
      <c r="B55" s="152" t="s">
        <v>8</v>
      </c>
      <c r="C55" s="149" t="s">
        <v>1966</v>
      </c>
      <c r="D55" s="149" t="s">
        <v>920</v>
      </c>
      <c r="E55" s="149">
        <v>7</v>
      </c>
      <c r="F55" s="149" t="s">
        <v>1041</v>
      </c>
      <c r="G55" s="149" t="s">
        <v>1042</v>
      </c>
      <c r="H55" s="306" t="s">
        <v>1384</v>
      </c>
      <c r="I55" s="179">
        <v>90976329</v>
      </c>
      <c r="J55" s="308" t="s">
        <v>12</v>
      </c>
      <c r="K55" s="149">
        <v>2.5</v>
      </c>
      <c r="L55" s="156"/>
      <c r="M55" s="157">
        <f>9492-7188</f>
        <v>2304</v>
      </c>
      <c r="N55" s="157">
        <f>40225-31013</f>
        <v>9212</v>
      </c>
      <c r="O55" s="155">
        <f t="shared" si="0"/>
        <v>11516</v>
      </c>
      <c r="P55" s="156"/>
      <c r="Q55" s="157">
        <f>9492-7188</f>
        <v>2304</v>
      </c>
      <c r="R55" s="157">
        <f>40225-31013</f>
        <v>9212</v>
      </c>
      <c r="S55" s="155">
        <f t="shared" si="1"/>
        <v>11516</v>
      </c>
      <c r="T55" s="156"/>
      <c r="U55" s="154">
        <f t="shared" si="2"/>
        <v>4608</v>
      </c>
      <c r="V55" s="154">
        <f t="shared" si="3"/>
        <v>18424</v>
      </c>
      <c r="W55" s="155">
        <f t="shared" si="4"/>
        <v>23032</v>
      </c>
    </row>
    <row r="56" spans="1:23" ht="29.25">
      <c r="A56" s="255" t="s">
        <v>7</v>
      </c>
      <c r="B56" s="152" t="s">
        <v>8</v>
      </c>
      <c r="C56" s="149" t="s">
        <v>1967</v>
      </c>
      <c r="D56" s="149" t="s">
        <v>204</v>
      </c>
      <c r="E56" s="149">
        <v>49</v>
      </c>
      <c r="F56" s="149" t="s">
        <v>1041</v>
      </c>
      <c r="G56" s="149" t="s">
        <v>1042</v>
      </c>
      <c r="H56" s="305" t="s">
        <v>1385</v>
      </c>
      <c r="I56" s="179">
        <v>83247333</v>
      </c>
      <c r="J56" s="308" t="s">
        <v>12</v>
      </c>
      <c r="K56" s="149">
        <v>1.6</v>
      </c>
      <c r="L56" s="156"/>
      <c r="M56" s="157">
        <f>11927-8226</f>
        <v>3701</v>
      </c>
      <c r="N56" s="157">
        <f>42372-29051</f>
        <v>13321</v>
      </c>
      <c r="O56" s="155">
        <f t="shared" si="0"/>
        <v>17022</v>
      </c>
      <c r="P56" s="156"/>
      <c r="Q56" s="157">
        <f>11927-8226</f>
        <v>3701</v>
      </c>
      <c r="R56" s="157">
        <f>42372-29051</f>
        <v>13321</v>
      </c>
      <c r="S56" s="155">
        <f t="shared" si="1"/>
        <v>17022</v>
      </c>
      <c r="T56" s="156"/>
      <c r="U56" s="154">
        <f t="shared" si="2"/>
        <v>7402</v>
      </c>
      <c r="V56" s="154">
        <f t="shared" si="3"/>
        <v>26642</v>
      </c>
      <c r="W56" s="155">
        <f t="shared" si="4"/>
        <v>34044</v>
      </c>
    </row>
    <row r="57" spans="1:23" ht="29.25">
      <c r="A57" s="255" t="s">
        <v>7</v>
      </c>
      <c r="B57" s="152" t="s">
        <v>8</v>
      </c>
      <c r="C57" s="149" t="s">
        <v>1968</v>
      </c>
      <c r="D57" s="149" t="s">
        <v>89</v>
      </c>
      <c r="E57" s="149"/>
      <c r="F57" s="149" t="s">
        <v>1041</v>
      </c>
      <c r="G57" s="149" t="s">
        <v>1042</v>
      </c>
      <c r="H57" s="305" t="s">
        <v>1386</v>
      </c>
      <c r="I57" s="179">
        <v>94313016</v>
      </c>
      <c r="J57" s="308" t="s">
        <v>12</v>
      </c>
      <c r="K57" s="149">
        <v>2.8</v>
      </c>
      <c r="L57" s="156"/>
      <c r="M57" s="157">
        <f>12400-5594</f>
        <v>6806</v>
      </c>
      <c r="N57" s="157">
        <f>48519-20302</f>
        <v>28217</v>
      </c>
      <c r="O57" s="155">
        <f t="shared" si="0"/>
        <v>35023</v>
      </c>
      <c r="P57" s="156"/>
      <c r="Q57" s="157">
        <f>12400-5594</f>
        <v>6806</v>
      </c>
      <c r="R57" s="157">
        <f>48519-20302</f>
        <v>28217</v>
      </c>
      <c r="S57" s="155">
        <f t="shared" si="1"/>
        <v>35023</v>
      </c>
      <c r="T57" s="156"/>
      <c r="U57" s="154">
        <f t="shared" si="2"/>
        <v>13612</v>
      </c>
      <c r="V57" s="154">
        <f t="shared" si="3"/>
        <v>56434</v>
      </c>
      <c r="W57" s="155">
        <f t="shared" si="4"/>
        <v>70046</v>
      </c>
    </row>
    <row r="58" spans="1:23" ht="29.25">
      <c r="A58" s="255" t="s">
        <v>7</v>
      </c>
      <c r="B58" s="152" t="s">
        <v>8</v>
      </c>
      <c r="C58" s="149" t="s">
        <v>2001</v>
      </c>
      <c r="D58" s="149" t="s">
        <v>204</v>
      </c>
      <c r="E58" s="149"/>
      <c r="F58" s="149" t="s">
        <v>1041</v>
      </c>
      <c r="G58" s="149" t="s">
        <v>1042</v>
      </c>
      <c r="H58" s="306" t="s">
        <v>1418</v>
      </c>
      <c r="I58" s="180">
        <v>94806994</v>
      </c>
      <c r="J58" s="308" t="s">
        <v>12</v>
      </c>
      <c r="K58" s="149">
        <v>3.9</v>
      </c>
      <c r="L58" s="156"/>
      <c r="M58" s="157">
        <f>42498-40244</f>
        <v>2254</v>
      </c>
      <c r="N58" s="157">
        <f>189619-174097</f>
        <v>15522</v>
      </c>
      <c r="O58" s="155">
        <f t="shared" si="0"/>
        <v>17776</v>
      </c>
      <c r="P58" s="156"/>
      <c r="Q58" s="157">
        <f>42498-40244</f>
        <v>2254</v>
      </c>
      <c r="R58" s="157">
        <f>189619-174097</f>
        <v>15522</v>
      </c>
      <c r="S58" s="155">
        <f t="shared" si="1"/>
        <v>17776</v>
      </c>
      <c r="T58" s="156"/>
      <c r="U58" s="154">
        <f t="shared" si="2"/>
        <v>4508</v>
      </c>
      <c r="V58" s="154">
        <f t="shared" si="3"/>
        <v>31044</v>
      </c>
      <c r="W58" s="155">
        <f t="shared" si="4"/>
        <v>35552</v>
      </c>
    </row>
    <row r="59" spans="1:23" ht="43.5">
      <c r="A59" s="255" t="s">
        <v>7</v>
      </c>
      <c r="B59" s="152" t="s">
        <v>8</v>
      </c>
      <c r="C59" s="149" t="s">
        <v>1969</v>
      </c>
      <c r="D59" s="149" t="s">
        <v>1047</v>
      </c>
      <c r="E59" s="149"/>
      <c r="F59" s="149" t="s">
        <v>1041</v>
      </c>
      <c r="G59" s="149" t="s">
        <v>1042</v>
      </c>
      <c r="H59" s="305" t="s">
        <v>1387</v>
      </c>
      <c r="I59" s="179">
        <v>83903920</v>
      </c>
      <c r="J59" s="308" t="s">
        <v>12</v>
      </c>
      <c r="K59" s="149">
        <v>0.5</v>
      </c>
      <c r="L59" s="156"/>
      <c r="M59" s="157">
        <f>5039-2615</f>
        <v>2424</v>
      </c>
      <c r="N59" s="157">
        <f>21688-11160</f>
        <v>10528</v>
      </c>
      <c r="O59" s="155">
        <f t="shared" si="0"/>
        <v>12952</v>
      </c>
      <c r="P59" s="156"/>
      <c r="Q59" s="157">
        <f>5039-2615</f>
        <v>2424</v>
      </c>
      <c r="R59" s="157">
        <f>21688-11160</f>
        <v>10528</v>
      </c>
      <c r="S59" s="155">
        <f t="shared" si="1"/>
        <v>12952</v>
      </c>
      <c r="T59" s="156"/>
      <c r="U59" s="154">
        <f t="shared" si="2"/>
        <v>4848</v>
      </c>
      <c r="V59" s="154">
        <f t="shared" si="3"/>
        <v>21056</v>
      </c>
      <c r="W59" s="155">
        <f t="shared" si="4"/>
        <v>25904</v>
      </c>
    </row>
    <row r="60" spans="1:23" ht="43.5">
      <c r="A60" s="255" t="s">
        <v>7</v>
      </c>
      <c r="B60" s="152" t="s">
        <v>8</v>
      </c>
      <c r="C60" s="149" t="s">
        <v>1970</v>
      </c>
      <c r="D60" s="149" t="s">
        <v>1048</v>
      </c>
      <c r="E60" s="149"/>
      <c r="F60" s="149" t="s">
        <v>1041</v>
      </c>
      <c r="G60" s="149" t="s">
        <v>1042</v>
      </c>
      <c r="H60" s="305" t="s">
        <v>1388</v>
      </c>
      <c r="I60" s="179">
        <v>91296964</v>
      </c>
      <c r="J60" s="308" t="s">
        <v>12</v>
      </c>
      <c r="K60" s="256">
        <v>2</v>
      </c>
      <c r="L60" s="156"/>
      <c r="M60" s="157">
        <f>8864-6646</f>
        <v>2218</v>
      </c>
      <c r="N60" s="157">
        <f>35202-26036</f>
        <v>9166</v>
      </c>
      <c r="O60" s="155">
        <f t="shared" si="0"/>
        <v>11384</v>
      </c>
      <c r="P60" s="156"/>
      <c r="Q60" s="157">
        <f>8864-6646</f>
        <v>2218</v>
      </c>
      <c r="R60" s="157">
        <f>35202-26036</f>
        <v>9166</v>
      </c>
      <c r="S60" s="155">
        <f t="shared" si="1"/>
        <v>11384</v>
      </c>
      <c r="T60" s="156"/>
      <c r="U60" s="154">
        <f t="shared" si="2"/>
        <v>4436</v>
      </c>
      <c r="V60" s="154">
        <f t="shared" si="3"/>
        <v>18332</v>
      </c>
      <c r="W60" s="155">
        <f t="shared" si="4"/>
        <v>22768</v>
      </c>
    </row>
    <row r="61" spans="1:23" ht="45" customHeight="1">
      <c r="A61" s="255" t="s">
        <v>7</v>
      </c>
      <c r="B61" s="152" t="s">
        <v>8</v>
      </c>
      <c r="C61" s="149" t="s">
        <v>1971</v>
      </c>
      <c r="D61" s="149" t="s">
        <v>1048</v>
      </c>
      <c r="E61" s="149"/>
      <c r="F61" s="149" t="s">
        <v>1041</v>
      </c>
      <c r="G61" s="149" t="s">
        <v>1042</v>
      </c>
      <c r="H61" s="306" t="s">
        <v>1389</v>
      </c>
      <c r="I61" s="179">
        <v>91296839</v>
      </c>
      <c r="J61" s="308" t="s">
        <v>12</v>
      </c>
      <c r="K61" s="149">
        <v>2.8</v>
      </c>
      <c r="L61" s="156"/>
      <c r="M61" s="157">
        <f>11647-8082</f>
        <v>3565</v>
      </c>
      <c r="N61" s="157">
        <f>45888-30715</f>
        <v>15173</v>
      </c>
      <c r="O61" s="155">
        <f t="shared" si="0"/>
        <v>18738</v>
      </c>
      <c r="P61" s="156"/>
      <c r="Q61" s="157">
        <f>11647-8082</f>
        <v>3565</v>
      </c>
      <c r="R61" s="157">
        <f>45888-30715</f>
        <v>15173</v>
      </c>
      <c r="S61" s="155">
        <f t="shared" si="1"/>
        <v>18738</v>
      </c>
      <c r="T61" s="156"/>
      <c r="U61" s="154">
        <f t="shared" si="2"/>
        <v>7130</v>
      </c>
      <c r="V61" s="154">
        <f t="shared" si="3"/>
        <v>30346</v>
      </c>
      <c r="W61" s="155">
        <f t="shared" si="4"/>
        <v>37476</v>
      </c>
    </row>
    <row r="62" spans="1:23" ht="43.5">
      <c r="A62" s="255" t="s">
        <v>7</v>
      </c>
      <c r="B62" s="152" t="s">
        <v>8</v>
      </c>
      <c r="C62" s="149" t="s">
        <v>1973</v>
      </c>
      <c r="D62" s="148"/>
      <c r="E62" s="149">
        <v>5</v>
      </c>
      <c r="F62" s="149" t="s">
        <v>1041</v>
      </c>
      <c r="G62" s="149" t="s">
        <v>1042</v>
      </c>
      <c r="H62" s="305" t="s">
        <v>1677</v>
      </c>
      <c r="I62" s="180">
        <v>1403581</v>
      </c>
      <c r="J62" s="308" t="s">
        <v>12</v>
      </c>
      <c r="K62" s="149">
        <v>1.5</v>
      </c>
      <c r="L62" s="156"/>
      <c r="M62" s="157">
        <f>10451-8779</f>
        <v>1672</v>
      </c>
      <c r="N62" s="157">
        <f>42388-35606</f>
        <v>6782</v>
      </c>
      <c r="O62" s="155">
        <f t="shared" si="0"/>
        <v>8454</v>
      </c>
      <c r="P62" s="156"/>
      <c r="Q62" s="157">
        <f>10451-8779</f>
        <v>1672</v>
      </c>
      <c r="R62" s="157">
        <f>42388-35606</f>
        <v>6782</v>
      </c>
      <c r="S62" s="155">
        <f t="shared" si="1"/>
        <v>8454</v>
      </c>
      <c r="T62" s="156"/>
      <c r="U62" s="154">
        <f t="shared" si="2"/>
        <v>3344</v>
      </c>
      <c r="V62" s="154">
        <f t="shared" si="3"/>
        <v>13564</v>
      </c>
      <c r="W62" s="155">
        <f t="shared" si="4"/>
        <v>16908</v>
      </c>
    </row>
    <row r="63" spans="1:23" ht="29.25">
      <c r="A63" s="255" t="s">
        <v>7</v>
      </c>
      <c r="B63" s="152" t="s">
        <v>8</v>
      </c>
      <c r="C63" s="149" t="s">
        <v>1978</v>
      </c>
      <c r="D63" s="148"/>
      <c r="E63" s="149"/>
      <c r="F63" s="149" t="s">
        <v>1041</v>
      </c>
      <c r="G63" s="149" t="s">
        <v>1042</v>
      </c>
      <c r="H63" s="305" t="s">
        <v>1397</v>
      </c>
      <c r="I63" s="179">
        <v>83904509</v>
      </c>
      <c r="J63" s="308" t="s">
        <v>12</v>
      </c>
      <c r="K63" s="149">
        <v>0.6</v>
      </c>
      <c r="L63" s="156"/>
      <c r="M63" s="157">
        <f>1266-692</f>
        <v>574</v>
      </c>
      <c r="N63" s="157">
        <f>5539-2894</f>
        <v>2645</v>
      </c>
      <c r="O63" s="155">
        <f t="shared" si="0"/>
        <v>3219</v>
      </c>
      <c r="P63" s="156"/>
      <c r="Q63" s="157">
        <f>1266-692</f>
        <v>574</v>
      </c>
      <c r="R63" s="157">
        <f>5539-2894</f>
        <v>2645</v>
      </c>
      <c r="S63" s="155">
        <f t="shared" si="1"/>
        <v>3219</v>
      </c>
      <c r="T63" s="156"/>
      <c r="U63" s="154">
        <f t="shared" si="2"/>
        <v>1148</v>
      </c>
      <c r="V63" s="154">
        <f t="shared" si="3"/>
        <v>5290</v>
      </c>
      <c r="W63" s="155">
        <f t="shared" si="4"/>
        <v>6438</v>
      </c>
    </row>
    <row r="64" spans="1:23" ht="29.25">
      <c r="A64" s="255" t="s">
        <v>7</v>
      </c>
      <c r="B64" s="152" t="s">
        <v>8</v>
      </c>
      <c r="C64" s="149" t="s">
        <v>1979</v>
      </c>
      <c r="D64" s="148"/>
      <c r="E64" s="149"/>
      <c r="F64" s="149" t="s">
        <v>1041</v>
      </c>
      <c r="G64" s="149" t="s">
        <v>1042</v>
      </c>
      <c r="H64" s="306" t="s">
        <v>1398</v>
      </c>
      <c r="I64" s="179">
        <v>83904503</v>
      </c>
      <c r="J64" s="308" t="s">
        <v>12</v>
      </c>
      <c r="K64" s="149">
        <v>0.8</v>
      </c>
      <c r="L64" s="156"/>
      <c r="M64" s="157">
        <f>2201-1190</f>
        <v>1011</v>
      </c>
      <c r="N64" s="157">
        <f>9759-5096</f>
        <v>4663</v>
      </c>
      <c r="O64" s="155">
        <f t="shared" si="0"/>
        <v>5674</v>
      </c>
      <c r="P64" s="156"/>
      <c r="Q64" s="157">
        <f>2201-1190</f>
        <v>1011</v>
      </c>
      <c r="R64" s="157">
        <f>9759-5096</f>
        <v>4663</v>
      </c>
      <c r="S64" s="155">
        <f t="shared" si="1"/>
        <v>5674</v>
      </c>
      <c r="T64" s="156"/>
      <c r="U64" s="154">
        <f t="shared" si="2"/>
        <v>2022</v>
      </c>
      <c r="V64" s="154">
        <f t="shared" si="3"/>
        <v>9326</v>
      </c>
      <c r="W64" s="155">
        <f t="shared" si="4"/>
        <v>11348</v>
      </c>
    </row>
    <row r="65" spans="1:23" ht="29.25">
      <c r="A65" s="255" t="s">
        <v>7</v>
      </c>
      <c r="B65" s="152" t="s">
        <v>8</v>
      </c>
      <c r="C65" s="149" t="s">
        <v>1963</v>
      </c>
      <c r="D65" s="148"/>
      <c r="E65" s="149">
        <v>17</v>
      </c>
      <c r="F65" s="149" t="s">
        <v>1041</v>
      </c>
      <c r="G65" s="149" t="s">
        <v>1042</v>
      </c>
      <c r="H65" s="305" t="s">
        <v>1380</v>
      </c>
      <c r="I65" s="179">
        <v>83247336</v>
      </c>
      <c r="J65" s="308" t="s">
        <v>12</v>
      </c>
      <c r="K65" s="149">
        <v>0.6</v>
      </c>
      <c r="L65" s="156"/>
      <c r="M65" s="157">
        <f>10839-8740</f>
        <v>2099</v>
      </c>
      <c r="N65" s="157">
        <f>39219-31817</f>
        <v>7402</v>
      </c>
      <c r="O65" s="155">
        <f t="shared" si="0"/>
        <v>9501</v>
      </c>
      <c r="P65" s="156"/>
      <c r="Q65" s="157">
        <f>10839-8740</f>
        <v>2099</v>
      </c>
      <c r="R65" s="157">
        <f>39219-31817</f>
        <v>7402</v>
      </c>
      <c r="S65" s="155">
        <f t="shared" si="1"/>
        <v>9501</v>
      </c>
      <c r="T65" s="156"/>
      <c r="U65" s="154">
        <f t="shared" si="2"/>
        <v>4198</v>
      </c>
      <c r="V65" s="154">
        <f t="shared" si="3"/>
        <v>14804</v>
      </c>
      <c r="W65" s="155">
        <f t="shared" si="4"/>
        <v>19002</v>
      </c>
    </row>
    <row r="66" spans="1:23" ht="29.25">
      <c r="A66" s="255" t="s">
        <v>7</v>
      </c>
      <c r="B66" s="152" t="s">
        <v>8</v>
      </c>
      <c r="C66" s="149" t="s">
        <v>1974</v>
      </c>
      <c r="D66" s="148"/>
      <c r="E66" s="149"/>
      <c r="F66" s="149" t="s">
        <v>1041</v>
      </c>
      <c r="G66" s="149" t="s">
        <v>1042</v>
      </c>
      <c r="H66" s="305" t="s">
        <v>1391</v>
      </c>
      <c r="I66" s="179">
        <v>83904311</v>
      </c>
      <c r="J66" s="308" t="s">
        <v>12</v>
      </c>
      <c r="K66" s="149">
        <v>0.5</v>
      </c>
      <c r="L66" s="156"/>
      <c r="M66" s="157">
        <f>474-271</f>
        <v>203</v>
      </c>
      <c r="N66" s="157">
        <f>1988-1083</f>
        <v>905</v>
      </c>
      <c r="O66" s="155">
        <f t="shared" si="0"/>
        <v>1108</v>
      </c>
      <c r="P66" s="156"/>
      <c r="Q66" s="157">
        <f>474-271</f>
        <v>203</v>
      </c>
      <c r="R66" s="157">
        <f>1988-1083</f>
        <v>905</v>
      </c>
      <c r="S66" s="155">
        <f t="shared" si="1"/>
        <v>1108</v>
      </c>
      <c r="T66" s="156"/>
      <c r="U66" s="154">
        <f t="shared" si="2"/>
        <v>406</v>
      </c>
      <c r="V66" s="154">
        <f t="shared" si="3"/>
        <v>1810</v>
      </c>
      <c r="W66" s="155">
        <f t="shared" si="4"/>
        <v>2216</v>
      </c>
    </row>
    <row r="67" spans="1:23" ht="29.25">
      <c r="A67" s="255" t="s">
        <v>7</v>
      </c>
      <c r="B67" s="152" t="s">
        <v>8</v>
      </c>
      <c r="C67" s="149" t="s">
        <v>1975</v>
      </c>
      <c r="D67" s="148"/>
      <c r="E67" s="149"/>
      <c r="F67" s="149" t="s">
        <v>1041</v>
      </c>
      <c r="G67" s="149" t="s">
        <v>1042</v>
      </c>
      <c r="H67" s="306" t="s">
        <v>1392</v>
      </c>
      <c r="I67" s="179">
        <v>83904459</v>
      </c>
      <c r="J67" s="308" t="s">
        <v>12</v>
      </c>
      <c r="K67" s="149">
        <v>0.5</v>
      </c>
      <c r="L67" s="156"/>
      <c r="M67" s="157">
        <f>2055-1049</f>
        <v>1006</v>
      </c>
      <c r="N67" s="157">
        <f>8537-4274</f>
        <v>4263</v>
      </c>
      <c r="O67" s="155">
        <f t="shared" si="0"/>
        <v>5269</v>
      </c>
      <c r="P67" s="156"/>
      <c r="Q67" s="157">
        <f>2055-1049</f>
        <v>1006</v>
      </c>
      <c r="R67" s="157">
        <f>8537-4274</f>
        <v>4263</v>
      </c>
      <c r="S67" s="155">
        <f t="shared" si="1"/>
        <v>5269</v>
      </c>
      <c r="T67" s="156"/>
      <c r="U67" s="154">
        <f t="shared" si="2"/>
        <v>2012</v>
      </c>
      <c r="V67" s="154">
        <f t="shared" si="3"/>
        <v>8526</v>
      </c>
      <c r="W67" s="155">
        <f t="shared" si="4"/>
        <v>10538</v>
      </c>
    </row>
    <row r="68" spans="1:23" ht="29.25">
      <c r="A68" s="255" t="s">
        <v>7</v>
      </c>
      <c r="B68" s="152" t="s">
        <v>8</v>
      </c>
      <c r="C68" s="149" t="s">
        <v>1976</v>
      </c>
      <c r="D68" s="148"/>
      <c r="E68" s="149"/>
      <c r="F68" s="149" t="s">
        <v>1041</v>
      </c>
      <c r="G68" s="149" t="s">
        <v>1042</v>
      </c>
      <c r="H68" s="305" t="s">
        <v>1394</v>
      </c>
      <c r="I68" s="179">
        <v>83247275</v>
      </c>
      <c r="J68" s="308" t="s">
        <v>12</v>
      </c>
      <c r="K68" s="149">
        <v>0.6</v>
      </c>
      <c r="L68" s="156"/>
      <c r="M68" s="157">
        <f>5276-3905</f>
        <v>1371</v>
      </c>
      <c r="N68" s="157">
        <f>18643-13723</f>
        <v>4920</v>
      </c>
      <c r="O68" s="155">
        <f t="shared" si="0"/>
        <v>6291</v>
      </c>
      <c r="P68" s="156"/>
      <c r="Q68" s="157">
        <f>5276-3905</f>
        <v>1371</v>
      </c>
      <c r="R68" s="157">
        <f>18643-13723</f>
        <v>4920</v>
      </c>
      <c r="S68" s="155">
        <f t="shared" si="1"/>
        <v>6291</v>
      </c>
      <c r="T68" s="156"/>
      <c r="U68" s="154">
        <f t="shared" si="2"/>
        <v>2742</v>
      </c>
      <c r="V68" s="154">
        <f t="shared" si="3"/>
        <v>9840</v>
      </c>
      <c r="W68" s="155">
        <f t="shared" si="4"/>
        <v>12582</v>
      </c>
    </row>
    <row r="69" spans="1:23" ht="29.25">
      <c r="A69" s="255" t="s">
        <v>7</v>
      </c>
      <c r="B69" s="152" t="s">
        <v>8</v>
      </c>
      <c r="C69" s="149" t="s">
        <v>1977</v>
      </c>
      <c r="D69" s="148"/>
      <c r="E69" s="149"/>
      <c r="F69" s="149" t="s">
        <v>1041</v>
      </c>
      <c r="G69" s="149" t="s">
        <v>1042</v>
      </c>
      <c r="H69" s="306" t="s">
        <v>1395</v>
      </c>
      <c r="I69" s="179">
        <v>83247324</v>
      </c>
      <c r="J69" s="308" t="s">
        <v>12</v>
      </c>
      <c r="K69" s="256">
        <v>1</v>
      </c>
      <c r="L69" s="156"/>
      <c r="M69" s="157">
        <f>4930-3914</f>
        <v>1016</v>
      </c>
      <c r="N69" s="157">
        <f>18291-14635</f>
        <v>3656</v>
      </c>
      <c r="O69" s="155">
        <f t="shared" si="0"/>
        <v>4672</v>
      </c>
      <c r="P69" s="156"/>
      <c r="Q69" s="157">
        <f>4930-3914</f>
        <v>1016</v>
      </c>
      <c r="R69" s="157">
        <f>18291-14635</f>
        <v>3656</v>
      </c>
      <c r="S69" s="155">
        <f t="shared" si="1"/>
        <v>4672</v>
      </c>
      <c r="T69" s="156"/>
      <c r="U69" s="154">
        <f t="shared" si="2"/>
        <v>2032</v>
      </c>
      <c r="V69" s="154">
        <f t="shared" si="3"/>
        <v>7312</v>
      </c>
      <c r="W69" s="155">
        <f t="shared" si="4"/>
        <v>9344</v>
      </c>
    </row>
    <row r="70" spans="1:23" ht="29.25">
      <c r="A70" s="255" t="s">
        <v>7</v>
      </c>
      <c r="B70" s="152" t="s">
        <v>8</v>
      </c>
      <c r="C70" s="149" t="s">
        <v>1393</v>
      </c>
      <c r="D70" s="148"/>
      <c r="E70" s="149"/>
      <c r="F70" s="149" t="s">
        <v>1041</v>
      </c>
      <c r="G70" s="149" t="s">
        <v>1042</v>
      </c>
      <c r="H70" s="305" t="s">
        <v>1396</v>
      </c>
      <c r="I70" s="179">
        <v>83247328</v>
      </c>
      <c r="J70" s="308" t="s">
        <v>12</v>
      </c>
      <c r="K70" s="149">
        <v>0.5</v>
      </c>
      <c r="L70" s="156"/>
      <c r="M70" s="157">
        <f>3356-2590</f>
        <v>766</v>
      </c>
      <c r="N70" s="157">
        <f>12169-9602</f>
        <v>2567</v>
      </c>
      <c r="O70" s="155">
        <f t="shared" si="0"/>
        <v>3333</v>
      </c>
      <c r="P70" s="156"/>
      <c r="Q70" s="157">
        <f>3356-2590</f>
        <v>766</v>
      </c>
      <c r="R70" s="157">
        <f>12169-9602</f>
        <v>2567</v>
      </c>
      <c r="S70" s="155">
        <f t="shared" si="1"/>
        <v>3333</v>
      </c>
      <c r="T70" s="156"/>
      <c r="U70" s="154">
        <f t="shared" si="2"/>
        <v>1532</v>
      </c>
      <c r="V70" s="154">
        <f t="shared" si="3"/>
        <v>5134</v>
      </c>
      <c r="W70" s="155">
        <f t="shared" si="4"/>
        <v>6666</v>
      </c>
    </row>
    <row r="71" spans="1:23" ht="43.5">
      <c r="A71" s="255" t="s">
        <v>7</v>
      </c>
      <c r="B71" s="149" t="s">
        <v>8</v>
      </c>
      <c r="C71" s="149" t="s">
        <v>1972</v>
      </c>
      <c r="D71" s="148"/>
      <c r="E71" s="149">
        <v>4</v>
      </c>
      <c r="F71" s="149" t="s">
        <v>1041</v>
      </c>
      <c r="G71" s="149" t="s">
        <v>1042</v>
      </c>
      <c r="H71" s="305" t="s">
        <v>1390</v>
      </c>
      <c r="I71" s="179">
        <v>83247325</v>
      </c>
      <c r="J71" s="308" t="s">
        <v>12</v>
      </c>
      <c r="K71" s="149">
        <v>1.7</v>
      </c>
      <c r="L71" s="156"/>
      <c r="M71" s="157">
        <f>12506-10246</f>
        <v>2260</v>
      </c>
      <c r="N71" s="157">
        <f>46733-38397</f>
        <v>8336</v>
      </c>
      <c r="O71" s="155">
        <f t="shared" si="0"/>
        <v>10596</v>
      </c>
      <c r="P71" s="156"/>
      <c r="Q71" s="157">
        <f>12506-10246</f>
        <v>2260</v>
      </c>
      <c r="R71" s="157">
        <f>46733-38397</f>
        <v>8336</v>
      </c>
      <c r="S71" s="155">
        <f t="shared" si="1"/>
        <v>10596</v>
      </c>
      <c r="T71" s="156"/>
      <c r="U71" s="154">
        <f t="shared" si="2"/>
        <v>4520</v>
      </c>
      <c r="V71" s="154">
        <f t="shared" si="3"/>
        <v>16672</v>
      </c>
      <c r="W71" s="155">
        <f t="shared" si="4"/>
        <v>21192</v>
      </c>
    </row>
    <row r="72" spans="1:23" ht="29.25">
      <c r="A72" s="233" t="s">
        <v>7</v>
      </c>
      <c r="B72" s="152" t="s">
        <v>8</v>
      </c>
      <c r="C72" s="160" t="s">
        <v>1043</v>
      </c>
      <c r="D72" s="48"/>
      <c r="E72" s="48"/>
      <c r="F72" s="48" t="s">
        <v>1041</v>
      </c>
      <c r="G72" s="48" t="s">
        <v>1042</v>
      </c>
      <c r="H72" s="313" t="s">
        <v>1680</v>
      </c>
      <c r="I72" s="48">
        <v>136858</v>
      </c>
      <c r="J72" s="309" t="s">
        <v>12</v>
      </c>
      <c r="K72" s="144">
        <v>0.4</v>
      </c>
      <c r="L72" s="50"/>
      <c r="M72" s="140">
        <f>2078-1769</f>
        <v>309</v>
      </c>
      <c r="N72" s="140">
        <f>9236-7885</f>
        <v>1351</v>
      </c>
      <c r="O72" s="155">
        <f t="shared" si="0"/>
        <v>1660</v>
      </c>
      <c r="P72" s="50"/>
      <c r="Q72" s="140">
        <f>2078-1769</f>
        <v>309</v>
      </c>
      <c r="R72" s="140">
        <f>9236-7885</f>
        <v>1351</v>
      </c>
      <c r="S72" s="155">
        <f t="shared" si="1"/>
        <v>1660</v>
      </c>
      <c r="T72" s="50"/>
      <c r="U72" s="154">
        <f t="shared" si="2"/>
        <v>618</v>
      </c>
      <c r="V72" s="154">
        <f t="shared" si="3"/>
        <v>2702</v>
      </c>
      <c r="W72" s="155">
        <f t="shared" si="4"/>
        <v>3320</v>
      </c>
    </row>
    <row r="73" spans="1:23" ht="30.75" customHeight="1">
      <c r="A73" s="234" t="s">
        <v>7</v>
      </c>
      <c r="B73" s="149" t="s">
        <v>8</v>
      </c>
      <c r="C73" s="107" t="s">
        <v>1050</v>
      </c>
      <c r="D73" s="51"/>
      <c r="E73" s="51"/>
      <c r="F73" s="51" t="s">
        <v>1041</v>
      </c>
      <c r="G73" s="51" t="s">
        <v>1042</v>
      </c>
      <c r="H73" s="302" t="s">
        <v>1679</v>
      </c>
      <c r="I73" s="51">
        <v>136850</v>
      </c>
      <c r="J73" s="310" t="s">
        <v>12</v>
      </c>
      <c r="K73" s="204">
        <v>2</v>
      </c>
      <c r="L73" s="41"/>
      <c r="M73" s="97">
        <f>7831-6740</f>
        <v>1091</v>
      </c>
      <c r="N73" s="97">
        <f>36872-30694</f>
        <v>6178</v>
      </c>
      <c r="O73" s="155">
        <f t="shared" si="0"/>
        <v>7269</v>
      </c>
      <c r="P73" s="41"/>
      <c r="Q73" s="97">
        <f>7831-6740</f>
        <v>1091</v>
      </c>
      <c r="R73" s="97">
        <f>36872-30694</f>
        <v>6178</v>
      </c>
      <c r="S73" s="155">
        <f t="shared" si="1"/>
        <v>7269</v>
      </c>
      <c r="T73" s="41"/>
      <c r="U73" s="154">
        <f t="shared" si="2"/>
        <v>2182</v>
      </c>
      <c r="V73" s="154">
        <f t="shared" si="3"/>
        <v>12356</v>
      </c>
      <c r="W73" s="155">
        <f t="shared" si="4"/>
        <v>14538</v>
      </c>
    </row>
    <row r="74" spans="1:23" ht="29.25">
      <c r="A74" s="720" t="s">
        <v>7</v>
      </c>
      <c r="B74" s="281" t="s">
        <v>8</v>
      </c>
      <c r="C74" s="477" t="s">
        <v>1393</v>
      </c>
      <c r="D74" s="208"/>
      <c r="E74" s="477"/>
      <c r="F74" s="477" t="s">
        <v>2053</v>
      </c>
      <c r="G74" s="477"/>
      <c r="H74" s="721" t="s">
        <v>2054</v>
      </c>
      <c r="I74" s="722">
        <v>83904991</v>
      </c>
      <c r="J74" s="724" t="s">
        <v>12</v>
      </c>
      <c r="K74" s="725">
        <v>0.5</v>
      </c>
      <c r="L74" s="323"/>
      <c r="M74" s="727">
        <f>693-334</f>
        <v>359</v>
      </c>
      <c r="N74" s="727">
        <f>2983-1484</f>
        <v>1499</v>
      </c>
      <c r="O74" s="155">
        <f t="shared" si="0"/>
        <v>1858</v>
      </c>
      <c r="P74" s="323"/>
      <c r="Q74" s="727">
        <f>693-334</f>
        <v>359</v>
      </c>
      <c r="R74" s="727">
        <f>2983-1484</f>
        <v>1499</v>
      </c>
      <c r="S74" s="155">
        <f t="shared" si="1"/>
        <v>1858</v>
      </c>
      <c r="T74" s="323"/>
      <c r="U74" s="154">
        <f t="shared" si="2"/>
        <v>718</v>
      </c>
      <c r="V74" s="154">
        <f t="shared" si="3"/>
        <v>2998</v>
      </c>
      <c r="W74" s="155">
        <f t="shared" si="4"/>
        <v>3716</v>
      </c>
    </row>
    <row r="75" spans="1:23" s="46" customFormat="1" ht="29.25">
      <c r="A75" s="250" t="s">
        <v>7</v>
      </c>
      <c r="B75" s="149" t="s">
        <v>8</v>
      </c>
      <c r="C75" s="149" t="s">
        <v>2055</v>
      </c>
      <c r="D75" s="148"/>
      <c r="E75" s="149"/>
      <c r="F75" s="356" t="s">
        <v>1041</v>
      </c>
      <c r="G75" s="356" t="s">
        <v>1042</v>
      </c>
      <c r="H75" s="305" t="s">
        <v>2056</v>
      </c>
      <c r="I75" s="179">
        <v>83908742</v>
      </c>
      <c r="J75" s="308" t="s">
        <v>12</v>
      </c>
      <c r="K75" s="661">
        <v>1</v>
      </c>
      <c r="L75" s="156"/>
      <c r="M75" s="157">
        <f>254-108</f>
        <v>146</v>
      </c>
      <c r="N75" s="157">
        <f>1100-433</f>
        <v>667</v>
      </c>
      <c r="O75" s="155">
        <f t="shared" si="0"/>
        <v>813</v>
      </c>
      <c r="P75" s="156"/>
      <c r="Q75" s="157">
        <f>254-108</f>
        <v>146</v>
      </c>
      <c r="R75" s="157">
        <f>1100-433</f>
        <v>667</v>
      </c>
      <c r="S75" s="155">
        <f t="shared" si="1"/>
        <v>813</v>
      </c>
      <c r="T75" s="156"/>
      <c r="U75" s="154">
        <f t="shared" si="2"/>
        <v>292</v>
      </c>
      <c r="V75" s="154">
        <f t="shared" si="3"/>
        <v>1334</v>
      </c>
      <c r="W75" s="155">
        <f t="shared" si="4"/>
        <v>1626</v>
      </c>
    </row>
    <row r="76" spans="1:23" ht="29.25">
      <c r="A76" s="255" t="s">
        <v>7</v>
      </c>
      <c r="B76" s="149" t="s">
        <v>8</v>
      </c>
      <c r="C76" s="152" t="s">
        <v>2181</v>
      </c>
      <c r="D76" s="151"/>
      <c r="E76" s="152" t="s">
        <v>2182</v>
      </c>
      <c r="F76" s="363" t="s">
        <v>1041</v>
      </c>
      <c r="G76" s="363" t="s">
        <v>1042</v>
      </c>
      <c r="H76" s="306" t="s">
        <v>2183</v>
      </c>
      <c r="I76" s="723">
        <v>95799836</v>
      </c>
      <c r="J76" s="307" t="s">
        <v>12</v>
      </c>
      <c r="K76" s="726">
        <v>0.5</v>
      </c>
      <c r="L76" s="153"/>
      <c r="M76" s="154">
        <f>10*14</f>
        <v>140</v>
      </c>
      <c r="N76" s="154">
        <f>29*14</f>
        <v>406</v>
      </c>
      <c r="O76" s="155">
        <f t="shared" si="0"/>
        <v>546</v>
      </c>
      <c r="P76" s="153"/>
      <c r="Q76" s="154">
        <f>10*14</f>
        <v>140</v>
      </c>
      <c r="R76" s="154">
        <f>29*14</f>
        <v>406</v>
      </c>
      <c r="S76" s="155">
        <f t="shared" si="1"/>
        <v>546</v>
      </c>
      <c r="T76" s="153"/>
      <c r="U76" s="154">
        <f t="shared" si="2"/>
        <v>280</v>
      </c>
      <c r="V76" s="154">
        <f t="shared" si="3"/>
        <v>812</v>
      </c>
      <c r="W76" s="155">
        <f t="shared" si="4"/>
        <v>1092</v>
      </c>
    </row>
    <row r="77" spans="1:23" ht="29.25">
      <c r="A77" s="255" t="s">
        <v>7</v>
      </c>
      <c r="B77" s="149" t="s">
        <v>8</v>
      </c>
      <c r="C77" s="152" t="s">
        <v>1044</v>
      </c>
      <c r="D77" s="151" t="s">
        <v>352</v>
      </c>
      <c r="E77" s="152" t="s">
        <v>2184</v>
      </c>
      <c r="F77" s="363" t="s">
        <v>1041</v>
      </c>
      <c r="G77" s="363" t="s">
        <v>1042</v>
      </c>
      <c r="H77" s="305" t="s">
        <v>2185</v>
      </c>
      <c r="I77" s="723">
        <v>95799862</v>
      </c>
      <c r="J77" s="307" t="s">
        <v>12</v>
      </c>
      <c r="K77" s="726">
        <v>1</v>
      </c>
      <c r="L77" s="153"/>
      <c r="M77" s="154">
        <f>33*14</f>
        <v>462</v>
      </c>
      <c r="N77" s="154">
        <f>202*14</f>
        <v>2828</v>
      </c>
      <c r="O77" s="155">
        <f t="shared" si="0"/>
        <v>3290</v>
      </c>
      <c r="P77" s="153"/>
      <c r="Q77" s="154">
        <f>33*14</f>
        <v>462</v>
      </c>
      <c r="R77" s="154">
        <f>202*14</f>
        <v>2828</v>
      </c>
      <c r="S77" s="155">
        <f t="shared" si="1"/>
        <v>3290</v>
      </c>
      <c r="T77" s="153"/>
      <c r="U77" s="154">
        <f t="shared" si="2"/>
        <v>924</v>
      </c>
      <c r="V77" s="154">
        <f t="shared" si="3"/>
        <v>5656</v>
      </c>
      <c r="W77" s="155">
        <f t="shared" si="4"/>
        <v>6580</v>
      </c>
    </row>
    <row r="78" spans="1:23" ht="29.25">
      <c r="A78" s="233" t="s">
        <v>7</v>
      </c>
      <c r="B78" s="149" t="s">
        <v>8</v>
      </c>
      <c r="C78" s="356" t="s">
        <v>1051</v>
      </c>
      <c r="D78" s="356"/>
      <c r="E78" s="356"/>
      <c r="F78" s="356" t="s">
        <v>1041</v>
      </c>
      <c r="G78" s="356" t="s">
        <v>1042</v>
      </c>
      <c r="H78" s="313" t="s">
        <v>1998</v>
      </c>
      <c r="I78" s="507">
        <v>83638276</v>
      </c>
      <c r="J78" s="508" t="s">
        <v>149</v>
      </c>
      <c r="K78" s="509">
        <v>1.1</v>
      </c>
      <c r="L78" s="510">
        <f>19805-14811</f>
        <v>4994</v>
      </c>
      <c r="M78" s="156"/>
      <c r="N78" s="156"/>
      <c r="O78" s="511">
        <f aca="true" t="shared" si="5" ref="O78:O84">L78</f>
        <v>4994</v>
      </c>
      <c r="P78" s="510">
        <f>19805-14811</f>
        <v>4994</v>
      </c>
      <c r="Q78" s="156"/>
      <c r="R78" s="156"/>
      <c r="S78" s="511">
        <f aca="true" t="shared" si="6" ref="S78:S84">P78</f>
        <v>4994</v>
      </c>
      <c r="T78" s="510">
        <f>O78+S78</f>
        <v>9988</v>
      </c>
      <c r="U78" s="156"/>
      <c r="V78" s="156"/>
      <c r="W78" s="511">
        <f aca="true" t="shared" si="7" ref="W78:W84">T78</f>
        <v>9988</v>
      </c>
    </row>
    <row r="79" spans="1:23" ht="29.25">
      <c r="A79" s="233" t="s">
        <v>7</v>
      </c>
      <c r="B79" s="152" t="s">
        <v>8</v>
      </c>
      <c r="C79" s="363" t="s">
        <v>1790</v>
      </c>
      <c r="D79" s="363"/>
      <c r="E79" s="363"/>
      <c r="F79" s="363" t="s">
        <v>1041</v>
      </c>
      <c r="G79" s="363" t="s">
        <v>1042</v>
      </c>
      <c r="H79" s="302" t="s">
        <v>1999</v>
      </c>
      <c r="I79" s="512">
        <v>83425939</v>
      </c>
      <c r="J79" s="515" t="s">
        <v>149</v>
      </c>
      <c r="K79" s="513">
        <v>3.5</v>
      </c>
      <c r="L79" s="511">
        <f>19494-13775</f>
        <v>5719</v>
      </c>
      <c r="M79" s="153"/>
      <c r="N79" s="153"/>
      <c r="O79" s="511">
        <f t="shared" si="5"/>
        <v>5719</v>
      </c>
      <c r="P79" s="511">
        <f>19494-13775</f>
        <v>5719</v>
      </c>
      <c r="Q79" s="153"/>
      <c r="R79" s="153"/>
      <c r="S79" s="511">
        <f t="shared" si="6"/>
        <v>5719</v>
      </c>
      <c r="T79" s="510">
        <f aca="true" t="shared" si="8" ref="T79:T84">O79+S79</f>
        <v>11438</v>
      </c>
      <c r="U79" s="153"/>
      <c r="V79" s="153"/>
      <c r="W79" s="511">
        <f t="shared" si="7"/>
        <v>11438</v>
      </c>
    </row>
    <row r="80" spans="1:23" ht="29.25">
      <c r="A80" s="234" t="s">
        <v>739</v>
      </c>
      <c r="B80" s="149" t="s">
        <v>8</v>
      </c>
      <c r="C80" s="356" t="s">
        <v>1044</v>
      </c>
      <c r="D80" s="356" t="s">
        <v>57</v>
      </c>
      <c r="E80" s="356"/>
      <c r="F80" s="356" t="s">
        <v>1041</v>
      </c>
      <c r="G80" s="356" t="s">
        <v>1042</v>
      </c>
      <c r="H80" s="313" t="s">
        <v>2000</v>
      </c>
      <c r="I80" s="507">
        <v>83638032</v>
      </c>
      <c r="J80" s="508" t="s">
        <v>149</v>
      </c>
      <c r="K80" s="509">
        <v>0.5</v>
      </c>
      <c r="L80" s="510">
        <f>5912-4448</f>
        <v>1464</v>
      </c>
      <c r="M80" s="156"/>
      <c r="N80" s="156"/>
      <c r="O80" s="511">
        <f t="shared" si="5"/>
        <v>1464</v>
      </c>
      <c r="P80" s="510">
        <f>5912-4448</f>
        <v>1464</v>
      </c>
      <c r="Q80" s="156"/>
      <c r="R80" s="156"/>
      <c r="S80" s="511">
        <f t="shared" si="6"/>
        <v>1464</v>
      </c>
      <c r="T80" s="510">
        <f t="shared" si="8"/>
        <v>2928</v>
      </c>
      <c r="U80" s="156"/>
      <c r="V80" s="156"/>
      <c r="W80" s="511">
        <f t="shared" si="7"/>
        <v>2928</v>
      </c>
    </row>
    <row r="81" spans="1:23" ht="29.25">
      <c r="A81" s="233" t="s">
        <v>7</v>
      </c>
      <c r="B81" s="152" t="s">
        <v>8</v>
      </c>
      <c r="C81" s="75" t="s">
        <v>1042</v>
      </c>
      <c r="D81" s="51" t="s">
        <v>1283</v>
      </c>
      <c r="E81" s="51"/>
      <c r="F81" s="51" t="s">
        <v>1041</v>
      </c>
      <c r="G81" s="51" t="s">
        <v>1042</v>
      </c>
      <c r="H81" s="302" t="s">
        <v>1676</v>
      </c>
      <c r="I81" s="51">
        <v>1394963</v>
      </c>
      <c r="J81" s="360" t="s">
        <v>147</v>
      </c>
      <c r="K81" s="204">
        <v>5</v>
      </c>
      <c r="L81" s="12">
        <f>6262-5228</f>
        <v>1034</v>
      </c>
      <c r="M81" s="156"/>
      <c r="N81" s="156"/>
      <c r="O81" s="140">
        <f t="shared" si="5"/>
        <v>1034</v>
      </c>
      <c r="P81" s="12">
        <f>6262-5228</f>
        <v>1034</v>
      </c>
      <c r="Q81" s="156"/>
      <c r="R81" s="156"/>
      <c r="S81" s="140">
        <f t="shared" si="6"/>
        <v>1034</v>
      </c>
      <c r="T81" s="510">
        <f t="shared" si="8"/>
        <v>2068</v>
      </c>
      <c r="U81" s="156"/>
      <c r="V81" s="156"/>
      <c r="W81" s="140">
        <f t="shared" si="7"/>
        <v>2068</v>
      </c>
    </row>
    <row r="82" spans="1:23" ht="29.25">
      <c r="A82" s="233" t="s">
        <v>7</v>
      </c>
      <c r="B82" s="152" t="s">
        <v>8</v>
      </c>
      <c r="C82" s="312" t="s">
        <v>1049</v>
      </c>
      <c r="D82" s="51"/>
      <c r="E82" s="51"/>
      <c r="F82" s="51" t="s">
        <v>1041</v>
      </c>
      <c r="G82" s="51" t="s">
        <v>1042</v>
      </c>
      <c r="H82" s="302" t="s">
        <v>1678</v>
      </c>
      <c r="I82" s="51">
        <v>92953558</v>
      </c>
      <c r="J82" s="311" t="s">
        <v>147</v>
      </c>
      <c r="K82" s="231">
        <v>0.6</v>
      </c>
      <c r="L82" s="12">
        <f>2946-375</f>
        <v>2571</v>
      </c>
      <c r="M82" s="156"/>
      <c r="N82" s="156"/>
      <c r="O82" s="140">
        <f t="shared" si="5"/>
        <v>2571</v>
      </c>
      <c r="P82" s="12">
        <f>2946-375</f>
        <v>2571</v>
      </c>
      <c r="Q82" s="156"/>
      <c r="R82" s="156"/>
      <c r="S82" s="140">
        <f t="shared" si="6"/>
        <v>2571</v>
      </c>
      <c r="T82" s="510">
        <f t="shared" si="8"/>
        <v>5142</v>
      </c>
      <c r="U82" s="156"/>
      <c r="V82" s="156"/>
      <c r="W82" s="140">
        <f t="shared" si="7"/>
        <v>5142</v>
      </c>
    </row>
    <row r="83" spans="1:23" ht="29.25">
      <c r="A83" s="233" t="s">
        <v>7</v>
      </c>
      <c r="B83" s="152" t="s">
        <v>8</v>
      </c>
      <c r="C83" s="51" t="s">
        <v>1682</v>
      </c>
      <c r="D83" s="51"/>
      <c r="E83" s="51"/>
      <c r="F83" s="51" t="s">
        <v>1041</v>
      </c>
      <c r="G83" s="51" t="s">
        <v>1042</v>
      </c>
      <c r="H83" s="302" t="s">
        <v>1728</v>
      </c>
      <c r="I83" s="51">
        <v>1481450</v>
      </c>
      <c r="J83" s="175" t="s">
        <v>147</v>
      </c>
      <c r="K83" s="204">
        <v>0.4</v>
      </c>
      <c r="L83" s="12">
        <f>12291-9733</f>
        <v>2558</v>
      </c>
      <c r="M83" s="41"/>
      <c r="N83" s="41"/>
      <c r="O83" s="140">
        <f t="shared" si="5"/>
        <v>2558</v>
      </c>
      <c r="P83" s="12">
        <f>12291-9733</f>
        <v>2558</v>
      </c>
      <c r="Q83" s="41"/>
      <c r="R83" s="41"/>
      <c r="S83" s="140">
        <f t="shared" si="6"/>
        <v>2558</v>
      </c>
      <c r="T83" s="510">
        <f t="shared" si="8"/>
        <v>5116</v>
      </c>
      <c r="U83" s="41"/>
      <c r="V83" s="41"/>
      <c r="W83" s="140">
        <f t="shared" si="7"/>
        <v>5116</v>
      </c>
    </row>
    <row r="84" spans="1:23" ht="30" thickBot="1">
      <c r="A84" s="233" t="s">
        <v>7</v>
      </c>
      <c r="B84" s="152" t="s">
        <v>8</v>
      </c>
      <c r="C84" s="51" t="s">
        <v>1049</v>
      </c>
      <c r="D84" s="51"/>
      <c r="E84" s="51"/>
      <c r="F84" s="51" t="s">
        <v>1041</v>
      </c>
      <c r="G84" s="51" t="s">
        <v>1042</v>
      </c>
      <c r="H84" s="302" t="s">
        <v>1729</v>
      </c>
      <c r="I84" s="51">
        <v>1481452</v>
      </c>
      <c r="J84" s="175" t="s">
        <v>147</v>
      </c>
      <c r="K84" s="204">
        <v>0.4</v>
      </c>
      <c r="L84" s="12">
        <f>18808-15104</f>
        <v>3704</v>
      </c>
      <c r="M84" s="41"/>
      <c r="N84" s="41"/>
      <c r="O84" s="140">
        <f t="shared" si="5"/>
        <v>3704</v>
      </c>
      <c r="P84" s="12">
        <f>18808-15104</f>
        <v>3704</v>
      </c>
      <c r="Q84" s="41"/>
      <c r="R84" s="41"/>
      <c r="S84" s="140">
        <f t="shared" si="6"/>
        <v>3704</v>
      </c>
      <c r="T84" s="510">
        <f t="shared" si="8"/>
        <v>7408</v>
      </c>
      <c r="U84" s="41"/>
      <c r="V84" s="41"/>
      <c r="W84" s="140">
        <f t="shared" si="7"/>
        <v>7408</v>
      </c>
    </row>
    <row r="85" spans="2:23" ht="30">
      <c r="B85" s="464" t="s">
        <v>150</v>
      </c>
      <c r="C85" s="465" t="s">
        <v>1641</v>
      </c>
      <c r="D85" s="466"/>
      <c r="E85" s="467"/>
      <c r="F85" s="467"/>
      <c r="G85" s="521" t="s">
        <v>2030</v>
      </c>
      <c r="H85" s="468" t="s">
        <v>1641</v>
      </c>
      <c r="L85" s="18"/>
      <c r="M85" s="18"/>
      <c r="N85" s="49" t="s">
        <v>151</v>
      </c>
      <c r="O85" s="259">
        <f>SUM(O18:O84)</f>
        <v>535128</v>
      </c>
      <c r="P85" s="18"/>
      <c r="Q85" s="18"/>
      <c r="R85" s="49" t="s">
        <v>151</v>
      </c>
      <c r="S85" s="259">
        <f>SUM(S18:S84)</f>
        <v>535128</v>
      </c>
      <c r="T85" s="18"/>
      <c r="U85" s="18"/>
      <c r="V85" s="49" t="s">
        <v>151</v>
      </c>
      <c r="W85" s="259">
        <f>SUM(W18:W84)</f>
        <v>1070256</v>
      </c>
    </row>
    <row r="86" spans="2:16" ht="15">
      <c r="B86" s="247"/>
      <c r="C86" s="248" t="s">
        <v>1642</v>
      </c>
      <c r="D86" s="466"/>
      <c r="E86" s="467"/>
      <c r="F86" s="467"/>
      <c r="G86" s="397"/>
      <c r="H86" s="469" t="s">
        <v>1642</v>
      </c>
      <c r="M86" s="18"/>
      <c r="N86" s="18"/>
      <c r="O86" s="18"/>
      <c r="P86" s="18"/>
    </row>
    <row r="87" spans="2:16" ht="15.75" thickBot="1">
      <c r="B87" s="247"/>
      <c r="C87" s="248" t="s">
        <v>1643</v>
      </c>
      <c r="D87" s="466"/>
      <c r="E87" s="467"/>
      <c r="F87" s="467"/>
      <c r="G87" s="470"/>
      <c r="H87" s="471" t="s">
        <v>1643</v>
      </c>
      <c r="M87" s="18"/>
      <c r="N87" s="18"/>
      <c r="O87" s="18"/>
      <c r="P87" s="18"/>
    </row>
    <row r="88" spans="2:16" ht="15">
      <c r="B88" s="464" t="s">
        <v>1640</v>
      </c>
      <c r="C88" s="248">
        <v>8222147156</v>
      </c>
      <c r="D88" s="466"/>
      <c r="E88" s="467"/>
      <c r="F88" s="467"/>
      <c r="G88" s="467"/>
      <c r="H88" s="467"/>
      <c r="M88" s="18"/>
      <c r="N88" s="18"/>
      <c r="O88" s="18"/>
      <c r="P88" s="18"/>
    </row>
    <row r="89" spans="2:16" ht="15.75" thickBot="1">
      <c r="B89" s="472" t="s">
        <v>1644</v>
      </c>
      <c r="C89" s="400" t="s">
        <v>1681</v>
      </c>
      <c r="D89" s="473"/>
      <c r="E89" s="467"/>
      <c r="F89" s="467"/>
      <c r="G89" s="467"/>
      <c r="H89" s="467"/>
      <c r="M89" s="18"/>
      <c r="N89" s="18"/>
      <c r="O89" s="18"/>
      <c r="P89" s="18"/>
    </row>
    <row r="90" spans="13:16" ht="21.75" customHeight="1">
      <c r="M90" s="18" t="s">
        <v>155</v>
      </c>
      <c r="N90" s="18">
        <f>W85</f>
        <v>1070256</v>
      </c>
      <c r="O90" s="18"/>
      <c r="P90" s="18"/>
    </row>
    <row r="91" spans="2:16" ht="15" thickBot="1">
      <c r="B91" s="257"/>
      <c r="C91" s="232"/>
      <c r="D91" s="258"/>
      <c r="O91" s="18"/>
      <c r="P91" s="18"/>
    </row>
    <row r="92" spans="11:16" ht="60" customHeight="1">
      <c r="K92" s="759" t="s">
        <v>152</v>
      </c>
      <c r="L92" s="774" t="s">
        <v>2257</v>
      </c>
      <c r="M92" s="775"/>
      <c r="N92" s="776"/>
      <c r="O92" s="768" t="s">
        <v>153</v>
      </c>
      <c r="P92" s="18"/>
    </row>
    <row r="93" spans="11:15" ht="23.25" customHeight="1" thickBot="1">
      <c r="K93" s="760"/>
      <c r="L93" s="115" t="s">
        <v>154</v>
      </c>
      <c r="M93" s="115" t="s">
        <v>1017</v>
      </c>
      <c r="N93" s="115" t="s">
        <v>1018</v>
      </c>
      <c r="O93" s="769"/>
    </row>
    <row r="94" spans="11:15" ht="23.25" customHeight="1">
      <c r="K94" s="51" t="s">
        <v>147</v>
      </c>
      <c r="L94" s="583">
        <f>SUM(W81:W84)</f>
        <v>19734</v>
      </c>
      <c r="M94" s="53"/>
      <c r="N94" s="53"/>
      <c r="O94" s="583">
        <v>4</v>
      </c>
    </row>
    <row r="95" spans="11:15" ht="23.25" customHeight="1">
      <c r="K95" s="51" t="s">
        <v>149</v>
      </c>
      <c r="L95" s="583">
        <f>SUM(W78:W80)</f>
        <v>24354</v>
      </c>
      <c r="M95" s="53"/>
      <c r="N95" s="53"/>
      <c r="O95" s="583">
        <v>3</v>
      </c>
    </row>
    <row r="96" spans="11:15" ht="27" customHeight="1" thickBot="1">
      <c r="K96" s="51" t="s">
        <v>12</v>
      </c>
      <c r="L96" s="53"/>
      <c r="M96" s="583">
        <f>SUM(U18:U77)</f>
        <v>194384</v>
      </c>
      <c r="N96" s="583">
        <f>SUM(V18:V77)</f>
        <v>831784</v>
      </c>
      <c r="O96" s="583">
        <v>60</v>
      </c>
    </row>
    <row r="97" spans="11:15" ht="27" customHeight="1" thickBot="1">
      <c r="K97" s="274" t="s">
        <v>155</v>
      </c>
      <c r="L97" s="120">
        <f>SUM(L94:L96)</f>
        <v>44088</v>
      </c>
      <c r="M97" s="16">
        <f>SUM(M94:M96)</f>
        <v>194384</v>
      </c>
      <c r="N97" s="13">
        <f>SUM(N94:N96)</f>
        <v>831784</v>
      </c>
      <c r="O97" s="278">
        <f>SUM(O94:O96)</f>
        <v>67</v>
      </c>
    </row>
    <row r="98" spans="12:13" ht="21.75" customHeight="1" thickBot="1">
      <c r="L98" t="s">
        <v>156</v>
      </c>
      <c r="M98" s="342">
        <f>SUM(L97:N97)</f>
        <v>1070256</v>
      </c>
    </row>
  </sheetData>
  <sheetProtection/>
  <mergeCells count="23">
    <mergeCell ref="P15:S15"/>
    <mergeCell ref="T15:W15"/>
    <mergeCell ref="P16:S16"/>
    <mergeCell ref="T16:W16"/>
    <mergeCell ref="B1:L1"/>
    <mergeCell ref="G15:G17"/>
    <mergeCell ref="H15:H17"/>
    <mergeCell ref="I15:I17"/>
    <mergeCell ref="A15:A17"/>
    <mergeCell ref="B15:B17"/>
    <mergeCell ref="C15:C17"/>
    <mergeCell ref="D15:D17"/>
    <mergeCell ref="E15:E17"/>
    <mergeCell ref="F15:F17"/>
    <mergeCell ref="O92:O93"/>
    <mergeCell ref="B3:J3"/>
    <mergeCell ref="B5:J5"/>
    <mergeCell ref="J15:J17"/>
    <mergeCell ref="K15:K17"/>
    <mergeCell ref="L15:O15"/>
    <mergeCell ref="L16:O16"/>
    <mergeCell ref="K92:K93"/>
    <mergeCell ref="L92:N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3"/>
  <sheetViews>
    <sheetView zoomScale="50" zoomScaleNormal="50" zoomScalePageLayoutView="0" workbookViewId="0" topLeftCell="A85">
      <selection activeCell="U120" sqref="U120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6" max="6" width="11.19921875" style="0" customWidth="1"/>
    <col min="7" max="7" width="18.1992187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2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21.69921875" style="0" customWidth="1"/>
    <col min="17" max="20" width="14.59765625" style="0" customWidth="1"/>
    <col min="21" max="21" width="18.5" style="0" customWidth="1"/>
    <col min="22" max="22" width="19.3984375" style="0" customWidth="1"/>
    <col min="23" max="23" width="16.1992187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1" ht="15">
      <c r="B2" s="182"/>
      <c r="C2" s="182"/>
      <c r="D2" s="182"/>
      <c r="E2" s="182"/>
      <c r="F2" s="182"/>
      <c r="G2" s="182"/>
      <c r="H2" s="183"/>
      <c r="I2" s="184"/>
      <c r="J2" s="182"/>
      <c r="K2" s="182"/>
    </row>
    <row r="3" spans="2:11" ht="27" customHeight="1">
      <c r="B3" s="782" t="s">
        <v>1791</v>
      </c>
      <c r="C3" s="783"/>
      <c r="D3" s="783"/>
      <c r="E3" s="783"/>
      <c r="F3" s="783"/>
      <c r="G3" s="783"/>
      <c r="H3" s="783"/>
      <c r="I3" s="783"/>
      <c r="J3" s="784"/>
      <c r="K3" s="182"/>
    </row>
    <row r="4" spans="2:11" ht="22.5" customHeight="1">
      <c r="B4" s="183"/>
      <c r="C4" s="183"/>
      <c r="D4" s="183"/>
      <c r="E4" s="183"/>
      <c r="F4" s="183"/>
      <c r="G4" s="183"/>
      <c r="H4" s="183"/>
      <c r="I4" s="184"/>
      <c r="J4" s="182"/>
      <c r="K4" s="182"/>
    </row>
    <row r="5" spans="2:11" ht="22.5" customHeight="1">
      <c r="B5" s="755" t="s">
        <v>1012</v>
      </c>
      <c r="C5" s="755"/>
      <c r="D5" s="755"/>
      <c r="E5" s="755"/>
      <c r="F5" s="755"/>
      <c r="G5" s="755"/>
      <c r="H5" s="755"/>
      <c r="I5" s="755"/>
      <c r="J5" s="755"/>
      <c r="K5" s="182"/>
    </row>
    <row r="6" spans="2:11" ht="22.5" customHeight="1">
      <c r="B6" s="183"/>
      <c r="C6" s="183"/>
      <c r="D6" s="183"/>
      <c r="E6" s="183"/>
      <c r="F6" s="183"/>
      <c r="G6" s="183"/>
      <c r="H6" s="183"/>
      <c r="I6" s="184"/>
      <c r="J6" s="182"/>
      <c r="K6" s="182"/>
    </row>
    <row r="7" spans="2:11" ht="22.5" customHeight="1">
      <c r="B7" s="383" t="s">
        <v>950</v>
      </c>
      <c r="C7" s="182"/>
      <c r="D7" s="183"/>
      <c r="E7" s="183"/>
      <c r="F7" s="183"/>
      <c r="G7" s="182"/>
      <c r="H7" s="183"/>
      <c r="I7" s="184"/>
      <c r="J7" s="182"/>
      <c r="K7" s="182"/>
    </row>
    <row r="8" spans="2:11" ht="22.5" customHeight="1">
      <c r="B8" s="383" t="s">
        <v>2031</v>
      </c>
      <c r="C8" s="182"/>
      <c r="D8" s="183"/>
      <c r="E8" s="183"/>
      <c r="F8" s="183"/>
      <c r="G8" s="182"/>
      <c r="H8" s="183"/>
      <c r="I8" s="184"/>
      <c r="J8" s="182"/>
      <c r="K8" s="182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22.5" customHeight="1">
      <c r="B10" s="186" t="s">
        <v>1634</v>
      </c>
      <c r="C10" s="182"/>
      <c r="D10" s="187"/>
      <c r="E10" s="183"/>
      <c r="F10" s="183"/>
      <c r="G10" s="182"/>
      <c r="H10" s="183"/>
      <c r="I10" s="184"/>
      <c r="J10" s="182"/>
      <c r="K10" s="182"/>
    </row>
    <row r="11" spans="2:11" ht="22.5" customHeight="1">
      <c r="B11" s="182" t="s">
        <v>1024</v>
      </c>
      <c r="C11" s="182"/>
      <c r="D11" s="182"/>
      <c r="E11" s="182"/>
      <c r="F11" s="182"/>
      <c r="G11" s="182"/>
      <c r="H11" s="183"/>
      <c r="I11" s="184"/>
      <c r="J11" s="182"/>
      <c r="K11" s="182"/>
    </row>
    <row r="12" spans="2:11" ht="22.5" customHeight="1">
      <c r="B12" s="188" t="s">
        <v>1015</v>
      </c>
      <c r="C12" s="185" t="s">
        <v>1016</v>
      </c>
      <c r="D12" s="187"/>
      <c r="G12" s="816"/>
      <c r="H12" s="816"/>
      <c r="I12" s="816"/>
      <c r="J12" s="816"/>
      <c r="K12" s="816"/>
    </row>
    <row r="13" spans="2:11" ht="15.75">
      <c r="B13" s="188" t="s">
        <v>1013</v>
      </c>
      <c r="C13" s="189" t="s">
        <v>1014</v>
      </c>
      <c r="D13" s="187"/>
      <c r="G13" s="19"/>
      <c r="H13" s="644"/>
      <c r="I13" s="19"/>
      <c r="J13" s="19"/>
      <c r="K13" s="19"/>
    </row>
    <row r="14" spans="2:11" ht="16.5" thickBot="1">
      <c r="B14" s="188"/>
      <c r="C14" s="189"/>
      <c r="D14" s="187"/>
      <c r="G14" s="19"/>
      <c r="H14" s="644"/>
      <c r="I14" s="19"/>
      <c r="J14" s="19"/>
      <c r="K14" s="19"/>
    </row>
    <row r="15" spans="1:23" ht="45" customHeight="1">
      <c r="A15" s="801" t="s">
        <v>0</v>
      </c>
      <c r="B15" s="804" t="s">
        <v>976</v>
      </c>
      <c r="C15" s="804" t="s">
        <v>1</v>
      </c>
      <c r="D15" s="804" t="s">
        <v>2</v>
      </c>
      <c r="E15" s="798" t="s">
        <v>1020</v>
      </c>
      <c r="F15" s="798" t="s">
        <v>3</v>
      </c>
      <c r="G15" s="804" t="s">
        <v>4</v>
      </c>
      <c r="H15" s="810" t="s">
        <v>5</v>
      </c>
      <c r="I15" s="810" t="s">
        <v>738</v>
      </c>
      <c r="J15" s="810" t="s">
        <v>152</v>
      </c>
      <c r="K15" s="813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4.25" customHeight="1">
      <c r="A16" s="802"/>
      <c r="B16" s="805"/>
      <c r="C16" s="805"/>
      <c r="D16" s="805"/>
      <c r="E16" s="799"/>
      <c r="F16" s="799"/>
      <c r="G16" s="805"/>
      <c r="H16" s="811"/>
      <c r="I16" s="811"/>
      <c r="J16" s="811"/>
      <c r="K16" s="814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26.25" customHeight="1" thickBot="1">
      <c r="A17" s="803"/>
      <c r="B17" s="806"/>
      <c r="C17" s="806"/>
      <c r="D17" s="806"/>
      <c r="E17" s="800"/>
      <c r="F17" s="800"/>
      <c r="G17" s="806"/>
      <c r="H17" s="812"/>
      <c r="I17" s="812"/>
      <c r="J17" s="812"/>
      <c r="K17" s="815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55" t="s">
        <v>7</v>
      </c>
      <c r="B18" s="152" t="s">
        <v>8</v>
      </c>
      <c r="C18" s="152" t="s">
        <v>1836</v>
      </c>
      <c r="D18" s="151"/>
      <c r="E18" s="152" t="s">
        <v>2140</v>
      </c>
      <c r="F18" s="152" t="s">
        <v>1792</v>
      </c>
      <c r="G18" s="152" t="s">
        <v>1793</v>
      </c>
      <c r="H18" s="306" t="s">
        <v>2141</v>
      </c>
      <c r="I18" s="178">
        <v>83670125</v>
      </c>
      <c r="J18" s="230" t="s">
        <v>12</v>
      </c>
      <c r="K18" s="728">
        <v>1</v>
      </c>
      <c r="L18" s="153"/>
      <c r="M18" s="729">
        <f>741-472</f>
        <v>269</v>
      </c>
      <c r="N18" s="731">
        <f>2191-1538</f>
        <v>653</v>
      </c>
      <c r="O18" s="140">
        <f>M18+N18</f>
        <v>922</v>
      </c>
      <c r="P18" s="153"/>
      <c r="Q18" s="729">
        <f>741-472</f>
        <v>269</v>
      </c>
      <c r="R18" s="731">
        <f>2191-1538</f>
        <v>653</v>
      </c>
      <c r="S18" s="140">
        <f>Q18+R18</f>
        <v>922</v>
      </c>
      <c r="T18" s="153"/>
      <c r="U18" s="729">
        <f>M18+Q18</f>
        <v>538</v>
      </c>
      <c r="V18" s="729">
        <f>N18+R18</f>
        <v>1306</v>
      </c>
      <c r="W18" s="140">
        <f>U18+V18</f>
        <v>1844</v>
      </c>
    </row>
    <row r="19" spans="1:23" ht="29.25">
      <c r="A19" s="255" t="s">
        <v>7</v>
      </c>
      <c r="B19" s="152" t="s">
        <v>8</v>
      </c>
      <c r="C19" s="575" t="s">
        <v>730</v>
      </c>
      <c r="D19" s="148"/>
      <c r="E19" s="149"/>
      <c r="F19" s="152" t="s">
        <v>1792</v>
      </c>
      <c r="G19" s="152" t="s">
        <v>1793</v>
      </c>
      <c r="H19" s="306" t="s">
        <v>1797</v>
      </c>
      <c r="I19" s="179">
        <v>1567784</v>
      </c>
      <c r="J19" s="360" t="s">
        <v>149</v>
      </c>
      <c r="K19" s="204">
        <v>5.5</v>
      </c>
      <c r="L19" s="12">
        <f>23657-19668</f>
        <v>3989</v>
      </c>
      <c r="M19" s="156"/>
      <c r="N19" s="156"/>
      <c r="O19" s="140">
        <f>L19</f>
        <v>3989</v>
      </c>
      <c r="P19" s="12">
        <f>23657-19668</f>
        <v>3989</v>
      </c>
      <c r="Q19" s="156"/>
      <c r="R19" s="156"/>
      <c r="S19" s="140">
        <f>P19</f>
        <v>3989</v>
      </c>
      <c r="T19" s="12">
        <f>O19+S19</f>
        <v>7978</v>
      </c>
      <c r="U19" s="156"/>
      <c r="V19" s="156"/>
      <c r="W19" s="140">
        <f>T19</f>
        <v>7978</v>
      </c>
    </row>
    <row r="20" spans="1:23" ht="29.25">
      <c r="A20" s="255" t="s">
        <v>7</v>
      </c>
      <c r="B20" s="152" t="s">
        <v>8</v>
      </c>
      <c r="C20" s="575" t="s">
        <v>1798</v>
      </c>
      <c r="D20" s="148"/>
      <c r="E20" s="149"/>
      <c r="F20" s="152" t="s">
        <v>1792</v>
      </c>
      <c r="G20" s="152" t="s">
        <v>1793</v>
      </c>
      <c r="H20" s="306" t="s">
        <v>1799</v>
      </c>
      <c r="I20" s="179">
        <v>1409603</v>
      </c>
      <c r="J20" s="360" t="s">
        <v>149</v>
      </c>
      <c r="K20" s="204">
        <v>2</v>
      </c>
      <c r="L20" s="12">
        <f>11754-10835</f>
        <v>919</v>
      </c>
      <c r="M20" s="156"/>
      <c r="N20" s="156"/>
      <c r="O20" s="140">
        <f aca="true" t="shared" si="0" ref="O20:O82">L20</f>
        <v>919</v>
      </c>
      <c r="P20" s="12">
        <f>11754-10835</f>
        <v>919</v>
      </c>
      <c r="Q20" s="156"/>
      <c r="R20" s="156"/>
      <c r="S20" s="140">
        <f aca="true" t="shared" si="1" ref="S20:S83">P20</f>
        <v>919</v>
      </c>
      <c r="T20" s="12">
        <f aca="true" t="shared" si="2" ref="T20:T83">O20+S20</f>
        <v>1838</v>
      </c>
      <c r="U20" s="156"/>
      <c r="V20" s="156"/>
      <c r="W20" s="140">
        <f aca="true" t="shared" si="3" ref="W20:W83">T20</f>
        <v>1838</v>
      </c>
    </row>
    <row r="21" spans="1:23" ht="29.25">
      <c r="A21" s="255" t="s">
        <v>7</v>
      </c>
      <c r="B21" s="152" t="s">
        <v>8</v>
      </c>
      <c r="C21" s="575" t="s">
        <v>1798</v>
      </c>
      <c r="D21" s="148"/>
      <c r="E21" s="149"/>
      <c r="F21" s="152" t="s">
        <v>1792</v>
      </c>
      <c r="G21" s="152" t="s">
        <v>1793</v>
      </c>
      <c r="H21" s="306" t="s">
        <v>1800</v>
      </c>
      <c r="I21" s="179">
        <v>1567795</v>
      </c>
      <c r="J21" s="360" t="s">
        <v>149</v>
      </c>
      <c r="K21" s="231">
        <v>1</v>
      </c>
      <c r="L21" s="12">
        <f>9197-7677</f>
        <v>1520</v>
      </c>
      <c r="M21" s="156"/>
      <c r="N21" s="156"/>
      <c r="O21" s="140">
        <f t="shared" si="0"/>
        <v>1520</v>
      </c>
      <c r="P21" s="12">
        <f>9197-7677</f>
        <v>1520</v>
      </c>
      <c r="Q21" s="156"/>
      <c r="R21" s="156"/>
      <c r="S21" s="140">
        <f t="shared" si="1"/>
        <v>1520</v>
      </c>
      <c r="T21" s="12">
        <f t="shared" si="2"/>
        <v>3040</v>
      </c>
      <c r="U21" s="156"/>
      <c r="V21" s="156"/>
      <c r="W21" s="140">
        <f t="shared" si="3"/>
        <v>3040</v>
      </c>
    </row>
    <row r="22" spans="1:23" s="432" customFormat="1" ht="29.25">
      <c r="A22" s="255" t="s">
        <v>7</v>
      </c>
      <c r="B22" s="152" t="s">
        <v>8</v>
      </c>
      <c r="C22" s="575" t="s">
        <v>1801</v>
      </c>
      <c r="D22" s="148"/>
      <c r="E22" s="149"/>
      <c r="F22" s="152" t="s">
        <v>1792</v>
      </c>
      <c r="G22" s="152" t="s">
        <v>1793</v>
      </c>
      <c r="H22" s="306" t="s">
        <v>1802</v>
      </c>
      <c r="I22" s="179">
        <v>1567800</v>
      </c>
      <c r="J22" s="360" t="s">
        <v>149</v>
      </c>
      <c r="K22" s="231">
        <v>3</v>
      </c>
      <c r="L22" s="12">
        <f>9918-8130</f>
        <v>1788</v>
      </c>
      <c r="M22" s="156"/>
      <c r="N22" s="156"/>
      <c r="O22" s="140">
        <f t="shared" si="0"/>
        <v>1788</v>
      </c>
      <c r="P22" s="12">
        <f>9918-8130</f>
        <v>1788</v>
      </c>
      <c r="Q22" s="156"/>
      <c r="R22" s="156"/>
      <c r="S22" s="140">
        <f t="shared" si="1"/>
        <v>1788</v>
      </c>
      <c r="T22" s="12">
        <f t="shared" si="2"/>
        <v>3576</v>
      </c>
      <c r="U22" s="156"/>
      <c r="V22" s="156"/>
      <c r="W22" s="140">
        <f t="shared" si="3"/>
        <v>3576</v>
      </c>
    </row>
    <row r="23" spans="1:23" ht="29.25">
      <c r="A23" s="255" t="s">
        <v>7</v>
      </c>
      <c r="B23" s="152" t="s">
        <v>8</v>
      </c>
      <c r="C23" s="575" t="s">
        <v>1803</v>
      </c>
      <c r="D23" s="148"/>
      <c r="E23" s="149"/>
      <c r="F23" s="152" t="s">
        <v>1792</v>
      </c>
      <c r="G23" s="152" t="s">
        <v>1793</v>
      </c>
      <c r="H23" s="306" t="s">
        <v>1804</v>
      </c>
      <c r="I23" s="179">
        <v>83599018</v>
      </c>
      <c r="J23" s="360" t="s">
        <v>149</v>
      </c>
      <c r="K23" s="231">
        <v>3</v>
      </c>
      <c r="L23" s="12">
        <f>8153-6562</f>
        <v>1591</v>
      </c>
      <c r="M23" s="156"/>
      <c r="N23" s="156"/>
      <c r="O23" s="140">
        <f t="shared" si="0"/>
        <v>1591</v>
      </c>
      <c r="P23" s="12">
        <f>8153-6562</f>
        <v>1591</v>
      </c>
      <c r="Q23" s="156"/>
      <c r="R23" s="156"/>
      <c r="S23" s="140">
        <f t="shared" si="1"/>
        <v>1591</v>
      </c>
      <c r="T23" s="12">
        <f t="shared" si="2"/>
        <v>3182</v>
      </c>
      <c r="U23" s="156"/>
      <c r="V23" s="156"/>
      <c r="W23" s="140">
        <f t="shared" si="3"/>
        <v>3182</v>
      </c>
    </row>
    <row r="24" spans="1:23" ht="29.25">
      <c r="A24" s="255" t="s">
        <v>7</v>
      </c>
      <c r="B24" s="152" t="s">
        <v>8</v>
      </c>
      <c r="C24" s="575" t="s">
        <v>1805</v>
      </c>
      <c r="D24" s="148"/>
      <c r="E24" s="149"/>
      <c r="F24" s="152" t="s">
        <v>1792</v>
      </c>
      <c r="G24" s="152" t="s">
        <v>1793</v>
      </c>
      <c r="H24" s="306" t="s">
        <v>1806</v>
      </c>
      <c r="I24" s="179">
        <v>91353833</v>
      </c>
      <c r="J24" s="360" t="s">
        <v>149</v>
      </c>
      <c r="K24" s="231">
        <v>1.8</v>
      </c>
      <c r="L24" s="12">
        <f>11025-8005</f>
        <v>3020</v>
      </c>
      <c r="M24" s="156"/>
      <c r="N24" s="156"/>
      <c r="O24" s="140">
        <f t="shared" si="0"/>
        <v>3020</v>
      </c>
      <c r="P24" s="12">
        <f>11025-8005</f>
        <v>3020</v>
      </c>
      <c r="Q24" s="156"/>
      <c r="R24" s="156"/>
      <c r="S24" s="140">
        <f t="shared" si="1"/>
        <v>3020</v>
      </c>
      <c r="T24" s="12">
        <f t="shared" si="2"/>
        <v>6040</v>
      </c>
      <c r="U24" s="156"/>
      <c r="V24" s="156"/>
      <c r="W24" s="140">
        <f t="shared" si="3"/>
        <v>6040</v>
      </c>
    </row>
    <row r="25" spans="1:23" ht="29.25">
      <c r="A25" s="255" t="s">
        <v>7</v>
      </c>
      <c r="B25" s="152" t="s">
        <v>8</v>
      </c>
      <c r="C25" s="575" t="s">
        <v>2199</v>
      </c>
      <c r="D25" s="148"/>
      <c r="E25" s="149"/>
      <c r="F25" s="152" t="s">
        <v>1792</v>
      </c>
      <c r="G25" s="152" t="s">
        <v>1793</v>
      </c>
      <c r="H25" s="306" t="s">
        <v>1807</v>
      </c>
      <c r="I25" s="179">
        <v>11742214</v>
      </c>
      <c r="J25" s="360" t="s">
        <v>149</v>
      </c>
      <c r="K25" s="231">
        <v>4</v>
      </c>
      <c r="L25" s="28">
        <v>1578</v>
      </c>
      <c r="M25" s="156"/>
      <c r="N25" s="156"/>
      <c r="O25" s="140">
        <f t="shared" si="0"/>
        <v>1578</v>
      </c>
      <c r="P25" s="28">
        <v>1578</v>
      </c>
      <c r="Q25" s="156"/>
      <c r="R25" s="156"/>
      <c r="S25" s="140">
        <f t="shared" si="1"/>
        <v>1578</v>
      </c>
      <c r="T25" s="12">
        <f t="shared" si="2"/>
        <v>3156</v>
      </c>
      <c r="U25" s="156"/>
      <c r="V25" s="156"/>
      <c r="W25" s="140">
        <f t="shared" si="3"/>
        <v>3156</v>
      </c>
    </row>
    <row r="26" spans="1:23" ht="29.25">
      <c r="A26" s="255" t="s">
        <v>7</v>
      </c>
      <c r="B26" s="152" t="s">
        <v>8</v>
      </c>
      <c r="C26" s="575" t="s">
        <v>2200</v>
      </c>
      <c r="D26" s="148"/>
      <c r="E26" s="149"/>
      <c r="F26" s="152" t="s">
        <v>1792</v>
      </c>
      <c r="G26" s="152" t="s">
        <v>1793</v>
      </c>
      <c r="H26" s="306" t="s">
        <v>1808</v>
      </c>
      <c r="I26" s="179">
        <v>7903741</v>
      </c>
      <c r="J26" s="360" t="s">
        <v>149</v>
      </c>
      <c r="K26" s="231">
        <v>3</v>
      </c>
      <c r="L26" s="12">
        <v>1743</v>
      </c>
      <c r="M26" s="156"/>
      <c r="N26" s="156"/>
      <c r="O26" s="140">
        <f t="shared" si="0"/>
        <v>1743</v>
      </c>
      <c r="P26" s="12">
        <v>1743</v>
      </c>
      <c r="Q26" s="156"/>
      <c r="R26" s="156"/>
      <c r="S26" s="140">
        <f t="shared" si="1"/>
        <v>1743</v>
      </c>
      <c r="T26" s="12">
        <f t="shared" si="2"/>
        <v>3486</v>
      </c>
      <c r="U26" s="156"/>
      <c r="V26" s="156"/>
      <c r="W26" s="140">
        <f t="shared" si="3"/>
        <v>3486</v>
      </c>
    </row>
    <row r="27" spans="1:23" ht="29.25">
      <c r="A27" s="255" t="s">
        <v>7</v>
      </c>
      <c r="B27" s="152" t="s">
        <v>8</v>
      </c>
      <c r="C27" s="575" t="s">
        <v>1809</v>
      </c>
      <c r="D27" s="148"/>
      <c r="E27" s="149">
        <v>2</v>
      </c>
      <c r="F27" s="152" t="s">
        <v>1792</v>
      </c>
      <c r="G27" s="152" t="s">
        <v>1793</v>
      </c>
      <c r="H27" s="306" t="s">
        <v>1810</v>
      </c>
      <c r="I27" s="179">
        <v>104020</v>
      </c>
      <c r="J27" s="360" t="s">
        <v>149</v>
      </c>
      <c r="K27" s="231">
        <v>3</v>
      </c>
      <c r="L27" s="12">
        <f>38047-34658</f>
        <v>3389</v>
      </c>
      <c r="M27" s="156"/>
      <c r="N27" s="156"/>
      <c r="O27" s="140">
        <f t="shared" si="0"/>
        <v>3389</v>
      </c>
      <c r="P27" s="12">
        <f>38047-34658</f>
        <v>3389</v>
      </c>
      <c r="Q27" s="156"/>
      <c r="R27" s="156"/>
      <c r="S27" s="140">
        <f t="shared" si="1"/>
        <v>3389</v>
      </c>
      <c r="T27" s="12">
        <f t="shared" si="2"/>
        <v>6778</v>
      </c>
      <c r="U27" s="156"/>
      <c r="V27" s="156"/>
      <c r="W27" s="140">
        <f t="shared" si="3"/>
        <v>6778</v>
      </c>
    </row>
    <row r="28" spans="1:23" ht="29.25">
      <c r="A28" s="255" t="s">
        <v>7</v>
      </c>
      <c r="B28" s="152" t="s">
        <v>8</v>
      </c>
      <c r="C28" s="575" t="s">
        <v>1809</v>
      </c>
      <c r="D28" s="148"/>
      <c r="E28" s="149">
        <v>1</v>
      </c>
      <c r="F28" s="152" t="s">
        <v>1792</v>
      </c>
      <c r="G28" s="152" t="s">
        <v>1793</v>
      </c>
      <c r="H28" s="306" t="s">
        <v>1811</v>
      </c>
      <c r="I28" s="179">
        <v>1567798</v>
      </c>
      <c r="J28" s="360" t="s">
        <v>149</v>
      </c>
      <c r="K28" s="231">
        <v>2</v>
      </c>
      <c r="L28" s="12">
        <f>29466-26893</f>
        <v>2573</v>
      </c>
      <c r="M28" s="156"/>
      <c r="N28" s="156"/>
      <c r="O28" s="140">
        <f t="shared" si="0"/>
        <v>2573</v>
      </c>
      <c r="P28" s="12">
        <f>29466-26893</f>
        <v>2573</v>
      </c>
      <c r="Q28" s="156"/>
      <c r="R28" s="156"/>
      <c r="S28" s="140">
        <f t="shared" si="1"/>
        <v>2573</v>
      </c>
      <c r="T28" s="12">
        <f t="shared" si="2"/>
        <v>5146</v>
      </c>
      <c r="U28" s="156"/>
      <c r="V28" s="156"/>
      <c r="W28" s="140">
        <f t="shared" si="3"/>
        <v>5146</v>
      </c>
    </row>
    <row r="29" spans="1:23" ht="29.25">
      <c r="A29" s="255" t="s">
        <v>7</v>
      </c>
      <c r="B29" s="152" t="s">
        <v>8</v>
      </c>
      <c r="C29" s="575" t="s">
        <v>1816</v>
      </c>
      <c r="D29" s="148"/>
      <c r="E29" s="149"/>
      <c r="F29" s="152" t="s">
        <v>1792</v>
      </c>
      <c r="G29" s="152" t="s">
        <v>1793</v>
      </c>
      <c r="H29" s="306" t="s">
        <v>1812</v>
      </c>
      <c r="I29" s="179">
        <v>1567789</v>
      </c>
      <c r="J29" s="360" t="s">
        <v>149</v>
      </c>
      <c r="K29" s="231">
        <v>5</v>
      </c>
      <c r="L29" s="12">
        <f>18114-16696</f>
        <v>1418</v>
      </c>
      <c r="M29" s="156"/>
      <c r="N29" s="156"/>
      <c r="O29" s="140">
        <f t="shared" si="0"/>
        <v>1418</v>
      </c>
      <c r="P29" s="12">
        <f>18114-16696</f>
        <v>1418</v>
      </c>
      <c r="Q29" s="156"/>
      <c r="R29" s="156"/>
      <c r="S29" s="140">
        <f t="shared" si="1"/>
        <v>1418</v>
      </c>
      <c r="T29" s="12">
        <f t="shared" si="2"/>
        <v>2836</v>
      </c>
      <c r="U29" s="156"/>
      <c r="V29" s="156"/>
      <c r="W29" s="140">
        <f t="shared" si="3"/>
        <v>2836</v>
      </c>
    </row>
    <row r="30" spans="1:23" ht="29.25">
      <c r="A30" s="255" t="s">
        <v>7</v>
      </c>
      <c r="B30" s="152" t="s">
        <v>8</v>
      </c>
      <c r="C30" s="575" t="s">
        <v>1809</v>
      </c>
      <c r="D30" s="148"/>
      <c r="E30" s="149"/>
      <c r="F30" s="152" t="s">
        <v>1792</v>
      </c>
      <c r="G30" s="152" t="s">
        <v>1793</v>
      </c>
      <c r="H30" s="306" t="s">
        <v>1813</v>
      </c>
      <c r="I30" s="179">
        <v>1567791</v>
      </c>
      <c r="J30" s="360" t="s">
        <v>149</v>
      </c>
      <c r="K30" s="231">
        <v>3</v>
      </c>
      <c r="L30" s="12">
        <v>1756</v>
      </c>
      <c r="M30" s="156"/>
      <c r="N30" s="156"/>
      <c r="O30" s="140">
        <f t="shared" si="0"/>
        <v>1756</v>
      </c>
      <c r="P30" s="12">
        <v>1756</v>
      </c>
      <c r="Q30" s="156"/>
      <c r="R30" s="156"/>
      <c r="S30" s="140">
        <f t="shared" si="1"/>
        <v>1756</v>
      </c>
      <c r="T30" s="12">
        <f t="shared" si="2"/>
        <v>3512</v>
      </c>
      <c r="U30" s="156"/>
      <c r="V30" s="156"/>
      <c r="W30" s="140">
        <f t="shared" si="3"/>
        <v>3512</v>
      </c>
    </row>
    <row r="31" spans="1:23" ht="29.25">
      <c r="A31" s="255" t="s">
        <v>7</v>
      </c>
      <c r="B31" s="152" t="s">
        <v>8</v>
      </c>
      <c r="C31" s="575" t="s">
        <v>1814</v>
      </c>
      <c r="D31" s="148"/>
      <c r="E31" s="149"/>
      <c r="F31" s="152" t="s">
        <v>1792</v>
      </c>
      <c r="G31" s="152" t="s">
        <v>1793</v>
      </c>
      <c r="H31" s="306" t="s">
        <v>1815</v>
      </c>
      <c r="I31" s="179">
        <v>95803288</v>
      </c>
      <c r="J31" s="360" t="s">
        <v>149</v>
      </c>
      <c r="K31" s="231">
        <v>3</v>
      </c>
      <c r="L31" s="12">
        <f>30911-29143</f>
        <v>1768</v>
      </c>
      <c r="M31" s="156"/>
      <c r="N31" s="156"/>
      <c r="O31" s="140">
        <f t="shared" si="0"/>
        <v>1768</v>
      </c>
      <c r="P31" s="12">
        <f>30911-29143</f>
        <v>1768</v>
      </c>
      <c r="Q31" s="156"/>
      <c r="R31" s="156"/>
      <c r="S31" s="140">
        <f t="shared" si="1"/>
        <v>1768</v>
      </c>
      <c r="T31" s="12">
        <f t="shared" si="2"/>
        <v>3536</v>
      </c>
      <c r="U31" s="156"/>
      <c r="V31" s="156"/>
      <c r="W31" s="140">
        <f t="shared" si="3"/>
        <v>3536</v>
      </c>
    </row>
    <row r="32" spans="1:23" ht="29.25">
      <c r="A32" s="255" t="s">
        <v>7</v>
      </c>
      <c r="B32" s="152" t="s">
        <v>8</v>
      </c>
      <c r="C32" s="575" t="s">
        <v>1816</v>
      </c>
      <c r="D32" s="148"/>
      <c r="E32" s="149"/>
      <c r="F32" s="152" t="s">
        <v>1792</v>
      </c>
      <c r="G32" s="152" t="s">
        <v>1793</v>
      </c>
      <c r="H32" s="306" t="s">
        <v>1817</v>
      </c>
      <c r="I32" s="179">
        <v>1539359</v>
      </c>
      <c r="J32" s="360" t="s">
        <v>149</v>
      </c>
      <c r="K32" s="231">
        <v>3</v>
      </c>
      <c r="L32" s="12">
        <f>15226-14363</f>
        <v>863</v>
      </c>
      <c r="M32" s="156"/>
      <c r="N32" s="156"/>
      <c r="O32" s="140">
        <f t="shared" si="0"/>
        <v>863</v>
      </c>
      <c r="P32" s="12">
        <f>15226-14363</f>
        <v>863</v>
      </c>
      <c r="Q32" s="156"/>
      <c r="R32" s="156"/>
      <c r="S32" s="140">
        <f t="shared" si="1"/>
        <v>863</v>
      </c>
      <c r="T32" s="12">
        <f t="shared" si="2"/>
        <v>1726</v>
      </c>
      <c r="U32" s="156"/>
      <c r="V32" s="156"/>
      <c r="W32" s="140">
        <f t="shared" si="3"/>
        <v>1726</v>
      </c>
    </row>
    <row r="33" spans="1:23" ht="29.25">
      <c r="A33" s="255" t="s">
        <v>7</v>
      </c>
      <c r="B33" s="152" t="s">
        <v>8</v>
      </c>
      <c r="C33" s="575" t="s">
        <v>1814</v>
      </c>
      <c r="D33" s="148"/>
      <c r="E33" s="149"/>
      <c r="F33" s="152" t="s">
        <v>1792</v>
      </c>
      <c r="G33" s="152" t="s">
        <v>1793</v>
      </c>
      <c r="H33" s="306" t="s">
        <v>1818</v>
      </c>
      <c r="I33" s="179">
        <v>89212802</v>
      </c>
      <c r="J33" s="360" t="s">
        <v>149</v>
      </c>
      <c r="K33" s="231">
        <v>6</v>
      </c>
      <c r="L33" s="12">
        <f>2871-1737</f>
        <v>1134</v>
      </c>
      <c r="M33" s="156"/>
      <c r="N33" s="156"/>
      <c r="O33" s="140">
        <f t="shared" si="0"/>
        <v>1134</v>
      </c>
      <c r="P33" s="12">
        <f>2871-1737</f>
        <v>1134</v>
      </c>
      <c r="Q33" s="156"/>
      <c r="R33" s="156"/>
      <c r="S33" s="140">
        <f t="shared" si="1"/>
        <v>1134</v>
      </c>
      <c r="T33" s="12">
        <f t="shared" si="2"/>
        <v>2268</v>
      </c>
      <c r="U33" s="156"/>
      <c r="V33" s="156"/>
      <c r="W33" s="140">
        <f t="shared" si="3"/>
        <v>2268</v>
      </c>
    </row>
    <row r="34" spans="1:23" ht="29.25">
      <c r="A34" s="255" t="s">
        <v>7</v>
      </c>
      <c r="B34" s="152" t="s">
        <v>8</v>
      </c>
      <c r="C34" s="575" t="s">
        <v>1819</v>
      </c>
      <c r="D34" s="148"/>
      <c r="E34" s="149"/>
      <c r="F34" s="152" t="s">
        <v>1792</v>
      </c>
      <c r="G34" s="152" t="s">
        <v>1793</v>
      </c>
      <c r="H34" s="306" t="s">
        <v>1820</v>
      </c>
      <c r="I34" s="179">
        <v>12613554</v>
      </c>
      <c r="J34" s="360" t="s">
        <v>149</v>
      </c>
      <c r="K34" s="231">
        <v>2.5</v>
      </c>
      <c r="L34" s="12">
        <f>5970-2962</f>
        <v>3008</v>
      </c>
      <c r="M34" s="156"/>
      <c r="N34" s="156"/>
      <c r="O34" s="140">
        <f t="shared" si="0"/>
        <v>3008</v>
      </c>
      <c r="P34" s="12">
        <f>5970-2962</f>
        <v>3008</v>
      </c>
      <c r="Q34" s="156"/>
      <c r="R34" s="156"/>
      <c r="S34" s="140">
        <f t="shared" si="1"/>
        <v>3008</v>
      </c>
      <c r="T34" s="12">
        <f t="shared" si="2"/>
        <v>6016</v>
      </c>
      <c r="U34" s="156"/>
      <c r="V34" s="156"/>
      <c r="W34" s="140">
        <f t="shared" si="3"/>
        <v>6016</v>
      </c>
    </row>
    <row r="35" spans="1:23" ht="29.25">
      <c r="A35" s="255" t="s">
        <v>7</v>
      </c>
      <c r="B35" s="152" t="s">
        <v>8</v>
      </c>
      <c r="C35" s="575" t="s">
        <v>1821</v>
      </c>
      <c r="D35" s="148"/>
      <c r="E35" s="149"/>
      <c r="F35" s="152" t="s">
        <v>1792</v>
      </c>
      <c r="G35" s="152" t="s">
        <v>1793</v>
      </c>
      <c r="H35" s="306" t="s">
        <v>1822</v>
      </c>
      <c r="I35" s="180">
        <v>21087738</v>
      </c>
      <c r="J35" s="360" t="s">
        <v>149</v>
      </c>
      <c r="K35" s="231">
        <v>3</v>
      </c>
      <c r="L35" s="12">
        <v>1517</v>
      </c>
      <c r="M35" s="156"/>
      <c r="N35" s="156"/>
      <c r="O35" s="140">
        <f t="shared" si="0"/>
        <v>1517</v>
      </c>
      <c r="P35" s="12">
        <v>1517</v>
      </c>
      <c r="Q35" s="156"/>
      <c r="R35" s="156"/>
      <c r="S35" s="140">
        <f t="shared" si="1"/>
        <v>1517</v>
      </c>
      <c r="T35" s="12">
        <f t="shared" si="2"/>
        <v>3034</v>
      </c>
      <c r="U35" s="156"/>
      <c r="V35" s="156"/>
      <c r="W35" s="140">
        <f t="shared" si="3"/>
        <v>3034</v>
      </c>
    </row>
    <row r="36" spans="1:23" ht="29.25">
      <c r="A36" s="255" t="s">
        <v>7</v>
      </c>
      <c r="B36" s="152" t="s">
        <v>8</v>
      </c>
      <c r="C36" s="575" t="s">
        <v>1793</v>
      </c>
      <c r="D36" s="148" t="s">
        <v>230</v>
      </c>
      <c r="E36" s="149"/>
      <c r="F36" s="152" t="s">
        <v>1792</v>
      </c>
      <c r="G36" s="152" t="s">
        <v>1793</v>
      </c>
      <c r="H36" s="306" t="s">
        <v>1823</v>
      </c>
      <c r="I36" s="179">
        <v>12681335</v>
      </c>
      <c r="J36" s="360" t="s">
        <v>149</v>
      </c>
      <c r="K36" s="231">
        <v>5</v>
      </c>
      <c r="L36" s="12">
        <f>5231-2560</f>
        <v>2671</v>
      </c>
      <c r="M36" s="156"/>
      <c r="N36" s="156"/>
      <c r="O36" s="140">
        <f t="shared" si="0"/>
        <v>2671</v>
      </c>
      <c r="P36" s="12">
        <f>5231-2560</f>
        <v>2671</v>
      </c>
      <c r="Q36" s="156"/>
      <c r="R36" s="156"/>
      <c r="S36" s="140">
        <f t="shared" si="1"/>
        <v>2671</v>
      </c>
      <c r="T36" s="12">
        <f t="shared" si="2"/>
        <v>5342</v>
      </c>
      <c r="U36" s="156"/>
      <c r="V36" s="156"/>
      <c r="W36" s="140">
        <f t="shared" si="3"/>
        <v>5342</v>
      </c>
    </row>
    <row r="37" spans="1:23" ht="29.25">
      <c r="A37" s="255" t="s">
        <v>7</v>
      </c>
      <c r="B37" s="152" t="s">
        <v>8</v>
      </c>
      <c r="C37" s="575" t="s">
        <v>1824</v>
      </c>
      <c r="D37" s="148"/>
      <c r="E37" s="149"/>
      <c r="F37" s="152" t="s">
        <v>1792</v>
      </c>
      <c r="G37" s="152" t="s">
        <v>1793</v>
      </c>
      <c r="H37" s="306" t="s">
        <v>1825</v>
      </c>
      <c r="I37" s="179">
        <v>1487678</v>
      </c>
      <c r="J37" s="360" t="s">
        <v>149</v>
      </c>
      <c r="K37" s="231">
        <v>4</v>
      </c>
      <c r="L37" s="12">
        <v>2137</v>
      </c>
      <c r="M37" s="156"/>
      <c r="N37" s="156"/>
      <c r="O37" s="140">
        <f t="shared" si="0"/>
        <v>2137</v>
      </c>
      <c r="P37" s="12">
        <v>2137</v>
      </c>
      <c r="Q37" s="156"/>
      <c r="R37" s="156"/>
      <c r="S37" s="140">
        <f t="shared" si="1"/>
        <v>2137</v>
      </c>
      <c r="T37" s="12">
        <f t="shared" si="2"/>
        <v>4274</v>
      </c>
      <c r="U37" s="156"/>
      <c r="V37" s="156"/>
      <c r="W37" s="140">
        <f t="shared" si="3"/>
        <v>4274</v>
      </c>
    </row>
    <row r="38" spans="1:23" ht="29.25">
      <c r="A38" s="255" t="s">
        <v>7</v>
      </c>
      <c r="B38" s="152" t="s">
        <v>8</v>
      </c>
      <c r="C38" s="575" t="s">
        <v>1826</v>
      </c>
      <c r="D38" s="148"/>
      <c r="E38" s="149"/>
      <c r="F38" s="152" t="s">
        <v>1792</v>
      </c>
      <c r="G38" s="152" t="s">
        <v>1793</v>
      </c>
      <c r="H38" s="306" t="s">
        <v>1827</v>
      </c>
      <c r="I38" s="179">
        <v>1389447</v>
      </c>
      <c r="J38" s="360" t="s">
        <v>149</v>
      </c>
      <c r="K38" s="231">
        <v>5</v>
      </c>
      <c r="L38" s="12">
        <f>25875-24781</f>
        <v>1094</v>
      </c>
      <c r="M38" s="156"/>
      <c r="N38" s="156"/>
      <c r="O38" s="140">
        <f t="shared" si="0"/>
        <v>1094</v>
      </c>
      <c r="P38" s="12">
        <f>25875-24781</f>
        <v>1094</v>
      </c>
      <c r="Q38" s="156"/>
      <c r="R38" s="156"/>
      <c r="S38" s="140">
        <f t="shared" si="1"/>
        <v>1094</v>
      </c>
      <c r="T38" s="12">
        <f t="shared" si="2"/>
        <v>2188</v>
      </c>
      <c r="U38" s="156"/>
      <c r="V38" s="156"/>
      <c r="W38" s="140">
        <f t="shared" si="3"/>
        <v>2188</v>
      </c>
    </row>
    <row r="39" spans="1:23" ht="29.25">
      <c r="A39" s="255" t="s">
        <v>7</v>
      </c>
      <c r="B39" s="152" t="s">
        <v>8</v>
      </c>
      <c r="C39" s="575" t="s">
        <v>1826</v>
      </c>
      <c r="D39" s="148"/>
      <c r="E39" s="149"/>
      <c r="F39" s="152" t="s">
        <v>1792</v>
      </c>
      <c r="G39" s="152" t="s">
        <v>1793</v>
      </c>
      <c r="H39" s="306" t="s">
        <v>1828</v>
      </c>
      <c r="I39" s="179">
        <v>95803283</v>
      </c>
      <c r="J39" s="360" t="s">
        <v>149</v>
      </c>
      <c r="K39" s="231">
        <v>4</v>
      </c>
      <c r="L39" s="12">
        <f>8467-3798</f>
        <v>4669</v>
      </c>
      <c r="M39" s="156"/>
      <c r="N39" s="156"/>
      <c r="O39" s="140">
        <f t="shared" si="0"/>
        <v>4669</v>
      </c>
      <c r="P39" s="12">
        <f>8467-3798</f>
        <v>4669</v>
      </c>
      <c r="Q39" s="156"/>
      <c r="R39" s="156"/>
      <c r="S39" s="140">
        <f t="shared" si="1"/>
        <v>4669</v>
      </c>
      <c r="T39" s="12">
        <f t="shared" si="2"/>
        <v>9338</v>
      </c>
      <c r="U39" s="156"/>
      <c r="V39" s="156"/>
      <c r="W39" s="140">
        <f t="shared" si="3"/>
        <v>9338</v>
      </c>
    </row>
    <row r="40" spans="1:23" ht="29.25">
      <c r="A40" s="255" t="s">
        <v>7</v>
      </c>
      <c r="B40" s="152" t="s">
        <v>8</v>
      </c>
      <c r="C40" s="575" t="s">
        <v>1826</v>
      </c>
      <c r="D40" s="148"/>
      <c r="E40" s="149"/>
      <c r="F40" s="152" t="s">
        <v>1792</v>
      </c>
      <c r="G40" s="152" t="s">
        <v>1793</v>
      </c>
      <c r="H40" s="306" t="s">
        <v>1829</v>
      </c>
      <c r="I40" s="179">
        <v>95803287</v>
      </c>
      <c r="J40" s="360" t="s">
        <v>149</v>
      </c>
      <c r="K40" s="231">
        <v>4</v>
      </c>
      <c r="L40" s="12">
        <f>86651-82535</f>
        <v>4116</v>
      </c>
      <c r="M40" s="156"/>
      <c r="N40" s="156"/>
      <c r="O40" s="140">
        <f t="shared" si="0"/>
        <v>4116</v>
      </c>
      <c r="P40" s="12">
        <f>86651-82535</f>
        <v>4116</v>
      </c>
      <c r="Q40" s="156"/>
      <c r="R40" s="156"/>
      <c r="S40" s="140">
        <f t="shared" si="1"/>
        <v>4116</v>
      </c>
      <c r="T40" s="12">
        <f t="shared" si="2"/>
        <v>8232</v>
      </c>
      <c r="U40" s="156"/>
      <c r="V40" s="156"/>
      <c r="W40" s="140">
        <f t="shared" si="3"/>
        <v>8232</v>
      </c>
    </row>
    <row r="41" spans="1:23" ht="29.25">
      <c r="A41" s="255" t="s">
        <v>7</v>
      </c>
      <c r="B41" s="152" t="s">
        <v>8</v>
      </c>
      <c r="C41" s="575" t="s">
        <v>1830</v>
      </c>
      <c r="D41" s="148"/>
      <c r="E41" s="149"/>
      <c r="F41" s="152" t="s">
        <v>1792</v>
      </c>
      <c r="G41" s="152" t="s">
        <v>1793</v>
      </c>
      <c r="H41" s="306" t="s">
        <v>1831</v>
      </c>
      <c r="I41" s="179">
        <v>26026754</v>
      </c>
      <c r="J41" s="360" t="s">
        <v>149</v>
      </c>
      <c r="K41" s="231">
        <v>2</v>
      </c>
      <c r="L41" s="12">
        <v>3770</v>
      </c>
      <c r="M41" s="156"/>
      <c r="N41" s="156"/>
      <c r="O41" s="140">
        <f t="shared" si="0"/>
        <v>3770</v>
      </c>
      <c r="P41" s="12">
        <v>3770</v>
      </c>
      <c r="Q41" s="156"/>
      <c r="R41" s="156"/>
      <c r="S41" s="140">
        <f t="shared" si="1"/>
        <v>3770</v>
      </c>
      <c r="T41" s="12">
        <f t="shared" si="2"/>
        <v>7540</v>
      </c>
      <c r="U41" s="156"/>
      <c r="V41" s="156"/>
      <c r="W41" s="140">
        <f t="shared" si="3"/>
        <v>7540</v>
      </c>
    </row>
    <row r="42" spans="1:23" ht="29.25">
      <c r="A42" s="255" t="s">
        <v>7</v>
      </c>
      <c r="B42" s="152" t="s">
        <v>8</v>
      </c>
      <c r="C42" s="575" t="s">
        <v>1832</v>
      </c>
      <c r="D42" s="148"/>
      <c r="E42" s="149"/>
      <c r="F42" s="152" t="s">
        <v>1792</v>
      </c>
      <c r="G42" s="152" t="s">
        <v>1793</v>
      </c>
      <c r="H42" s="306" t="s">
        <v>1833</v>
      </c>
      <c r="I42" s="179">
        <v>1481170</v>
      </c>
      <c r="J42" s="360" t="s">
        <v>149</v>
      </c>
      <c r="K42" s="231">
        <v>3</v>
      </c>
      <c r="L42" s="12">
        <f>29691-27670</f>
        <v>2021</v>
      </c>
      <c r="M42" s="156"/>
      <c r="N42" s="156"/>
      <c r="O42" s="140">
        <f t="shared" si="0"/>
        <v>2021</v>
      </c>
      <c r="P42" s="12">
        <f>29691-27670</f>
        <v>2021</v>
      </c>
      <c r="Q42" s="156"/>
      <c r="R42" s="156"/>
      <c r="S42" s="140">
        <f t="shared" si="1"/>
        <v>2021</v>
      </c>
      <c r="T42" s="12">
        <f t="shared" si="2"/>
        <v>4042</v>
      </c>
      <c r="U42" s="156"/>
      <c r="V42" s="156"/>
      <c r="W42" s="140">
        <f t="shared" si="3"/>
        <v>4042</v>
      </c>
    </row>
    <row r="43" spans="1:23" ht="29.25">
      <c r="A43" s="255" t="s">
        <v>7</v>
      </c>
      <c r="B43" s="152" t="s">
        <v>8</v>
      </c>
      <c r="C43" s="575" t="s">
        <v>1834</v>
      </c>
      <c r="D43" s="148"/>
      <c r="E43" s="149"/>
      <c r="F43" s="152" t="s">
        <v>1792</v>
      </c>
      <c r="G43" s="152" t="s">
        <v>1793</v>
      </c>
      <c r="H43" s="306" t="s">
        <v>1835</v>
      </c>
      <c r="I43" s="179">
        <v>1481175</v>
      </c>
      <c r="J43" s="360" t="s">
        <v>149</v>
      </c>
      <c r="K43" s="231">
        <v>5</v>
      </c>
      <c r="L43" s="12">
        <f>29961-27300</f>
        <v>2661</v>
      </c>
      <c r="M43" s="156"/>
      <c r="N43" s="156"/>
      <c r="O43" s="140">
        <f t="shared" si="0"/>
        <v>2661</v>
      </c>
      <c r="P43" s="12">
        <f>29961-27300</f>
        <v>2661</v>
      </c>
      <c r="Q43" s="156"/>
      <c r="R43" s="156"/>
      <c r="S43" s="140">
        <f t="shared" si="1"/>
        <v>2661</v>
      </c>
      <c r="T43" s="12">
        <f t="shared" si="2"/>
        <v>5322</v>
      </c>
      <c r="U43" s="156"/>
      <c r="V43" s="156"/>
      <c r="W43" s="140">
        <f t="shared" si="3"/>
        <v>5322</v>
      </c>
    </row>
    <row r="44" spans="1:23" ht="29.25">
      <c r="A44" s="255" t="s">
        <v>7</v>
      </c>
      <c r="B44" s="152" t="s">
        <v>8</v>
      </c>
      <c r="C44" s="575" t="s">
        <v>1836</v>
      </c>
      <c r="D44" s="148"/>
      <c r="E44" s="149"/>
      <c r="F44" s="152" t="s">
        <v>1792</v>
      </c>
      <c r="G44" s="152" t="s">
        <v>1793</v>
      </c>
      <c r="H44" s="306" t="s">
        <v>1837</v>
      </c>
      <c r="I44" s="179">
        <v>1539344</v>
      </c>
      <c r="J44" s="360" t="s">
        <v>149</v>
      </c>
      <c r="K44" s="231">
        <v>3</v>
      </c>
      <c r="L44" s="12">
        <f>20066-18788</f>
        <v>1278</v>
      </c>
      <c r="M44" s="156"/>
      <c r="N44" s="156"/>
      <c r="O44" s="140">
        <f t="shared" si="0"/>
        <v>1278</v>
      </c>
      <c r="P44" s="12">
        <f>20066-18788</f>
        <v>1278</v>
      </c>
      <c r="Q44" s="156"/>
      <c r="R44" s="156"/>
      <c r="S44" s="140">
        <f t="shared" si="1"/>
        <v>1278</v>
      </c>
      <c r="T44" s="12">
        <f t="shared" si="2"/>
        <v>2556</v>
      </c>
      <c r="U44" s="156"/>
      <c r="V44" s="156"/>
      <c r="W44" s="140">
        <f t="shared" si="3"/>
        <v>2556</v>
      </c>
    </row>
    <row r="45" spans="1:23" ht="29.25">
      <c r="A45" s="255" t="s">
        <v>7</v>
      </c>
      <c r="B45" s="152" t="s">
        <v>8</v>
      </c>
      <c r="C45" s="575" t="s">
        <v>1836</v>
      </c>
      <c r="D45" s="148"/>
      <c r="E45" s="149"/>
      <c r="F45" s="152" t="s">
        <v>1792</v>
      </c>
      <c r="G45" s="152" t="s">
        <v>1793</v>
      </c>
      <c r="H45" s="306" t="s">
        <v>1838</v>
      </c>
      <c r="I45" s="179">
        <v>1567786</v>
      </c>
      <c r="J45" s="360" t="s">
        <v>149</v>
      </c>
      <c r="K45" s="231">
        <v>4</v>
      </c>
      <c r="L45" s="12">
        <f>21996-20147</f>
        <v>1849</v>
      </c>
      <c r="M45" s="156"/>
      <c r="N45" s="156"/>
      <c r="O45" s="140">
        <f t="shared" si="0"/>
        <v>1849</v>
      </c>
      <c r="P45" s="12">
        <f>21996-20147</f>
        <v>1849</v>
      </c>
      <c r="Q45" s="156"/>
      <c r="R45" s="156"/>
      <c r="S45" s="140">
        <f t="shared" si="1"/>
        <v>1849</v>
      </c>
      <c r="T45" s="12">
        <f t="shared" si="2"/>
        <v>3698</v>
      </c>
      <c r="U45" s="156"/>
      <c r="V45" s="156"/>
      <c r="W45" s="140">
        <f t="shared" si="3"/>
        <v>3698</v>
      </c>
    </row>
    <row r="46" spans="1:23" ht="29.25">
      <c r="A46" s="255" t="s">
        <v>7</v>
      </c>
      <c r="B46" s="152" t="s">
        <v>8</v>
      </c>
      <c r="C46" s="575" t="s">
        <v>1793</v>
      </c>
      <c r="D46" s="361" t="s">
        <v>1839</v>
      </c>
      <c r="E46" s="149"/>
      <c r="F46" s="152" t="s">
        <v>1792</v>
      </c>
      <c r="G46" s="152" t="s">
        <v>1793</v>
      </c>
      <c r="H46" s="306" t="s">
        <v>1840</v>
      </c>
      <c r="I46" s="179">
        <v>95804050</v>
      </c>
      <c r="J46" s="360" t="s">
        <v>149</v>
      </c>
      <c r="K46" s="231">
        <v>2</v>
      </c>
      <c r="L46" s="12">
        <f>25350-22383</f>
        <v>2967</v>
      </c>
      <c r="M46" s="156"/>
      <c r="N46" s="156"/>
      <c r="O46" s="140">
        <f t="shared" si="0"/>
        <v>2967</v>
      </c>
      <c r="P46" s="12">
        <f>25350-22383</f>
        <v>2967</v>
      </c>
      <c r="Q46" s="156"/>
      <c r="R46" s="156"/>
      <c r="S46" s="140">
        <f t="shared" si="1"/>
        <v>2967</v>
      </c>
      <c r="T46" s="12">
        <f t="shared" si="2"/>
        <v>5934</v>
      </c>
      <c r="U46" s="156"/>
      <c r="V46" s="156"/>
      <c r="W46" s="140">
        <f t="shared" si="3"/>
        <v>5934</v>
      </c>
    </row>
    <row r="47" spans="1:23" ht="29.25">
      <c r="A47" s="255" t="s">
        <v>7</v>
      </c>
      <c r="B47" s="152" t="s">
        <v>8</v>
      </c>
      <c r="C47" s="575" t="s">
        <v>1793</v>
      </c>
      <c r="D47" s="148" t="s">
        <v>194</v>
      </c>
      <c r="E47" s="149"/>
      <c r="F47" s="152" t="s">
        <v>1792</v>
      </c>
      <c r="G47" s="152" t="s">
        <v>1793</v>
      </c>
      <c r="H47" s="306" t="s">
        <v>1841</v>
      </c>
      <c r="I47" s="179">
        <v>4956114</v>
      </c>
      <c r="J47" s="360" t="s">
        <v>149</v>
      </c>
      <c r="K47" s="231">
        <v>1</v>
      </c>
      <c r="L47" s="12">
        <f>20916-20400</f>
        <v>516</v>
      </c>
      <c r="M47" s="156"/>
      <c r="N47" s="156"/>
      <c r="O47" s="140">
        <f t="shared" si="0"/>
        <v>516</v>
      </c>
      <c r="P47" s="12">
        <f>20916-20400</f>
        <v>516</v>
      </c>
      <c r="Q47" s="156"/>
      <c r="R47" s="156"/>
      <c r="S47" s="140">
        <f t="shared" si="1"/>
        <v>516</v>
      </c>
      <c r="T47" s="12">
        <f t="shared" si="2"/>
        <v>1032</v>
      </c>
      <c r="U47" s="156"/>
      <c r="V47" s="156"/>
      <c r="W47" s="140">
        <f t="shared" si="3"/>
        <v>1032</v>
      </c>
    </row>
    <row r="48" spans="1:23" ht="29.25">
      <c r="A48" s="255" t="s">
        <v>7</v>
      </c>
      <c r="B48" s="152" t="s">
        <v>8</v>
      </c>
      <c r="C48" s="575" t="s">
        <v>2047</v>
      </c>
      <c r="D48" s="148" t="s">
        <v>2146</v>
      </c>
      <c r="E48" s="149"/>
      <c r="F48" s="152" t="s">
        <v>1792</v>
      </c>
      <c r="G48" s="152" t="s">
        <v>1793</v>
      </c>
      <c r="H48" s="306" t="s">
        <v>1842</v>
      </c>
      <c r="I48" s="180">
        <v>25059218</v>
      </c>
      <c r="J48" s="360" t="s">
        <v>149</v>
      </c>
      <c r="K48" s="231">
        <v>5</v>
      </c>
      <c r="L48" s="12">
        <f>42953-36915</f>
        <v>6038</v>
      </c>
      <c r="M48" s="156"/>
      <c r="N48" s="156"/>
      <c r="O48" s="140">
        <f t="shared" si="0"/>
        <v>6038</v>
      </c>
      <c r="P48" s="12">
        <f>42953-36915</f>
        <v>6038</v>
      </c>
      <c r="Q48" s="156"/>
      <c r="R48" s="156"/>
      <c r="S48" s="140">
        <f t="shared" si="1"/>
        <v>6038</v>
      </c>
      <c r="T48" s="12">
        <f t="shared" si="2"/>
        <v>12076</v>
      </c>
      <c r="U48" s="156"/>
      <c r="V48" s="156"/>
      <c r="W48" s="140">
        <f t="shared" si="3"/>
        <v>12076</v>
      </c>
    </row>
    <row r="49" spans="1:23" ht="29.25">
      <c r="A49" s="255" t="s">
        <v>7</v>
      </c>
      <c r="B49" s="152" t="s">
        <v>8</v>
      </c>
      <c r="C49" s="575" t="s">
        <v>1843</v>
      </c>
      <c r="D49" s="148"/>
      <c r="E49" s="149"/>
      <c r="F49" s="152" t="s">
        <v>1792</v>
      </c>
      <c r="G49" s="152" t="s">
        <v>1793</v>
      </c>
      <c r="H49" s="306" t="s">
        <v>1844</v>
      </c>
      <c r="I49" s="179">
        <v>83669455</v>
      </c>
      <c r="J49" s="360" t="s">
        <v>149</v>
      </c>
      <c r="K49" s="231">
        <v>4</v>
      </c>
      <c r="L49" s="12">
        <v>2495</v>
      </c>
      <c r="M49" s="156"/>
      <c r="N49" s="156"/>
      <c r="O49" s="140">
        <f t="shared" si="0"/>
        <v>2495</v>
      </c>
      <c r="P49" s="12">
        <v>2495</v>
      </c>
      <c r="Q49" s="156"/>
      <c r="R49" s="156"/>
      <c r="S49" s="140">
        <f t="shared" si="1"/>
        <v>2495</v>
      </c>
      <c r="T49" s="12">
        <f t="shared" si="2"/>
        <v>4990</v>
      </c>
      <c r="U49" s="156"/>
      <c r="V49" s="156"/>
      <c r="W49" s="140">
        <f t="shared" si="3"/>
        <v>4990</v>
      </c>
    </row>
    <row r="50" spans="1:23" ht="29.25">
      <c r="A50" s="255" t="s">
        <v>7</v>
      </c>
      <c r="B50" s="152" t="s">
        <v>8</v>
      </c>
      <c r="C50" s="575" t="s">
        <v>1793</v>
      </c>
      <c r="D50" s="148"/>
      <c r="E50" s="149"/>
      <c r="F50" s="152" t="s">
        <v>1792</v>
      </c>
      <c r="G50" s="152" t="s">
        <v>1793</v>
      </c>
      <c r="H50" s="306" t="s">
        <v>1845</v>
      </c>
      <c r="I50" s="179">
        <v>92153626</v>
      </c>
      <c r="J50" s="360" t="s">
        <v>149</v>
      </c>
      <c r="K50" s="231">
        <v>2</v>
      </c>
      <c r="L50" s="12">
        <f>4692-2276</f>
        <v>2416</v>
      </c>
      <c r="M50" s="156"/>
      <c r="N50" s="156"/>
      <c r="O50" s="140">
        <f t="shared" si="0"/>
        <v>2416</v>
      </c>
      <c r="P50" s="12">
        <f>4692-2276</f>
        <v>2416</v>
      </c>
      <c r="Q50" s="156"/>
      <c r="R50" s="156"/>
      <c r="S50" s="140">
        <f t="shared" si="1"/>
        <v>2416</v>
      </c>
      <c r="T50" s="12">
        <f t="shared" si="2"/>
        <v>4832</v>
      </c>
      <c r="U50" s="156"/>
      <c r="V50" s="156"/>
      <c r="W50" s="140">
        <f t="shared" si="3"/>
        <v>4832</v>
      </c>
    </row>
    <row r="51" spans="1:23" ht="29.25">
      <c r="A51" s="255" t="s">
        <v>7</v>
      </c>
      <c r="B51" s="152" t="s">
        <v>8</v>
      </c>
      <c r="C51" s="575" t="s">
        <v>1793</v>
      </c>
      <c r="D51" s="148"/>
      <c r="E51" s="149"/>
      <c r="F51" s="152" t="s">
        <v>1792</v>
      </c>
      <c r="G51" s="152" t="s">
        <v>1793</v>
      </c>
      <c r="H51" s="306" t="s">
        <v>1846</v>
      </c>
      <c r="I51" s="179">
        <v>89004659</v>
      </c>
      <c r="J51" s="360" t="s">
        <v>149</v>
      </c>
      <c r="K51" s="231">
        <v>1.5</v>
      </c>
      <c r="L51" s="12">
        <f>3850-1267</f>
        <v>2583</v>
      </c>
      <c r="M51" s="156"/>
      <c r="N51" s="156"/>
      <c r="O51" s="140">
        <f t="shared" si="0"/>
        <v>2583</v>
      </c>
      <c r="P51" s="12">
        <f>3850-1267</f>
        <v>2583</v>
      </c>
      <c r="Q51" s="156"/>
      <c r="R51" s="156"/>
      <c r="S51" s="140">
        <f t="shared" si="1"/>
        <v>2583</v>
      </c>
      <c r="T51" s="12">
        <f t="shared" si="2"/>
        <v>5166</v>
      </c>
      <c r="U51" s="156"/>
      <c r="V51" s="156"/>
      <c r="W51" s="140">
        <f t="shared" si="3"/>
        <v>5166</v>
      </c>
    </row>
    <row r="52" spans="1:23" ht="43.5">
      <c r="A52" s="255" t="s">
        <v>7</v>
      </c>
      <c r="B52" s="152" t="s">
        <v>1847</v>
      </c>
      <c r="C52" s="575" t="s">
        <v>1793</v>
      </c>
      <c r="D52" s="148" t="s">
        <v>2145</v>
      </c>
      <c r="E52" s="149"/>
      <c r="F52" s="152" t="s">
        <v>1792</v>
      </c>
      <c r="G52" s="152" t="s">
        <v>1793</v>
      </c>
      <c r="H52" s="306" t="s">
        <v>1848</v>
      </c>
      <c r="I52" s="179">
        <v>90379517</v>
      </c>
      <c r="J52" s="360" t="s">
        <v>149</v>
      </c>
      <c r="K52" s="231">
        <v>0.5</v>
      </c>
      <c r="L52" s="12">
        <f>21888-21437</f>
        <v>451</v>
      </c>
      <c r="M52" s="156"/>
      <c r="N52" s="156"/>
      <c r="O52" s="140">
        <f t="shared" si="0"/>
        <v>451</v>
      </c>
      <c r="P52" s="12">
        <f>21888-21437</f>
        <v>451</v>
      </c>
      <c r="Q52" s="156"/>
      <c r="R52" s="156"/>
      <c r="S52" s="140">
        <f t="shared" si="1"/>
        <v>451</v>
      </c>
      <c r="T52" s="12">
        <f t="shared" si="2"/>
        <v>902</v>
      </c>
      <c r="U52" s="156"/>
      <c r="V52" s="156"/>
      <c r="W52" s="140">
        <f t="shared" si="3"/>
        <v>902</v>
      </c>
    </row>
    <row r="53" spans="1:23" ht="29.25">
      <c r="A53" s="255" t="s">
        <v>7</v>
      </c>
      <c r="B53" s="152" t="s">
        <v>8</v>
      </c>
      <c r="C53" s="575" t="s">
        <v>1793</v>
      </c>
      <c r="D53" s="148" t="s">
        <v>212</v>
      </c>
      <c r="E53" s="149"/>
      <c r="F53" s="152" t="s">
        <v>1792</v>
      </c>
      <c r="G53" s="152" t="s">
        <v>1793</v>
      </c>
      <c r="H53" s="306" t="s">
        <v>1849</v>
      </c>
      <c r="I53" s="179">
        <v>89212752</v>
      </c>
      <c r="J53" s="360" t="s">
        <v>149</v>
      </c>
      <c r="K53" s="231">
        <v>0.5</v>
      </c>
      <c r="L53" s="12">
        <f>2804-1702</f>
        <v>1102</v>
      </c>
      <c r="M53" s="156"/>
      <c r="N53" s="156"/>
      <c r="O53" s="140">
        <f t="shared" si="0"/>
        <v>1102</v>
      </c>
      <c r="P53" s="12">
        <f>2804-1702</f>
        <v>1102</v>
      </c>
      <c r="Q53" s="156"/>
      <c r="R53" s="156"/>
      <c r="S53" s="140">
        <f t="shared" si="1"/>
        <v>1102</v>
      </c>
      <c r="T53" s="12">
        <f t="shared" si="2"/>
        <v>2204</v>
      </c>
      <c r="U53" s="156"/>
      <c r="V53" s="156"/>
      <c r="W53" s="140">
        <f t="shared" si="3"/>
        <v>2204</v>
      </c>
    </row>
    <row r="54" spans="1:23" ht="29.25">
      <c r="A54" s="255" t="s">
        <v>7</v>
      </c>
      <c r="B54" s="152" t="s">
        <v>8</v>
      </c>
      <c r="C54" s="575" t="s">
        <v>1793</v>
      </c>
      <c r="D54" s="149" t="s">
        <v>1045</v>
      </c>
      <c r="E54" s="149"/>
      <c r="F54" s="152" t="s">
        <v>1792</v>
      </c>
      <c r="G54" s="152" t="s">
        <v>1793</v>
      </c>
      <c r="H54" s="306" t="s">
        <v>1850</v>
      </c>
      <c r="I54" s="179">
        <v>8513812</v>
      </c>
      <c r="J54" s="360" t="s">
        <v>149</v>
      </c>
      <c r="K54" s="231">
        <v>6</v>
      </c>
      <c r="L54" s="12">
        <f>161394-155698</f>
        <v>5696</v>
      </c>
      <c r="M54" s="156"/>
      <c r="N54" s="156"/>
      <c r="O54" s="140">
        <f t="shared" si="0"/>
        <v>5696</v>
      </c>
      <c r="P54" s="12">
        <f>161394-155698</f>
        <v>5696</v>
      </c>
      <c r="Q54" s="156"/>
      <c r="R54" s="156"/>
      <c r="S54" s="140">
        <f t="shared" si="1"/>
        <v>5696</v>
      </c>
      <c r="T54" s="12">
        <f t="shared" si="2"/>
        <v>11392</v>
      </c>
      <c r="U54" s="156"/>
      <c r="V54" s="156"/>
      <c r="W54" s="140">
        <f t="shared" si="3"/>
        <v>11392</v>
      </c>
    </row>
    <row r="55" spans="1:23" ht="29.25">
      <c r="A55" s="255" t="s">
        <v>7</v>
      </c>
      <c r="B55" s="152" t="s">
        <v>8</v>
      </c>
      <c r="C55" s="575" t="s">
        <v>1793</v>
      </c>
      <c r="D55" s="149"/>
      <c r="E55" s="149"/>
      <c r="F55" s="152" t="s">
        <v>1792</v>
      </c>
      <c r="G55" s="152" t="s">
        <v>1793</v>
      </c>
      <c r="H55" s="306" t="s">
        <v>1851</v>
      </c>
      <c r="I55" s="179">
        <v>19949022</v>
      </c>
      <c r="J55" s="360" t="s">
        <v>149</v>
      </c>
      <c r="K55" s="231">
        <v>2</v>
      </c>
      <c r="L55" s="12">
        <f>100402-99959</f>
        <v>443</v>
      </c>
      <c r="M55" s="156"/>
      <c r="N55" s="156"/>
      <c r="O55" s="140">
        <f t="shared" si="0"/>
        <v>443</v>
      </c>
      <c r="P55" s="12">
        <f>100402-99959</f>
        <v>443</v>
      </c>
      <c r="Q55" s="156"/>
      <c r="R55" s="156"/>
      <c r="S55" s="140">
        <f t="shared" si="1"/>
        <v>443</v>
      </c>
      <c r="T55" s="12">
        <f t="shared" si="2"/>
        <v>886</v>
      </c>
      <c r="U55" s="156"/>
      <c r="V55" s="156"/>
      <c r="W55" s="140">
        <f t="shared" si="3"/>
        <v>886</v>
      </c>
    </row>
    <row r="56" spans="1:23" ht="29.25">
      <c r="A56" s="255" t="s">
        <v>7</v>
      </c>
      <c r="B56" s="152" t="s">
        <v>8</v>
      </c>
      <c r="C56" s="575" t="s">
        <v>1793</v>
      </c>
      <c r="D56" s="149"/>
      <c r="E56" s="149"/>
      <c r="F56" s="152" t="s">
        <v>1792</v>
      </c>
      <c r="G56" s="152" t="s">
        <v>1793</v>
      </c>
      <c r="H56" s="306" t="s">
        <v>1852</v>
      </c>
      <c r="I56" s="179">
        <v>93586407</v>
      </c>
      <c r="J56" s="360" t="s">
        <v>149</v>
      </c>
      <c r="K56" s="231">
        <v>6</v>
      </c>
      <c r="L56" s="12">
        <f>5445-3869</f>
        <v>1576</v>
      </c>
      <c r="M56" s="156"/>
      <c r="N56" s="156"/>
      <c r="O56" s="140">
        <f t="shared" si="0"/>
        <v>1576</v>
      </c>
      <c r="P56" s="12">
        <f>5445-3869</f>
        <v>1576</v>
      </c>
      <c r="Q56" s="156"/>
      <c r="R56" s="156"/>
      <c r="S56" s="140">
        <f t="shared" si="1"/>
        <v>1576</v>
      </c>
      <c r="T56" s="12">
        <f t="shared" si="2"/>
        <v>3152</v>
      </c>
      <c r="U56" s="156"/>
      <c r="V56" s="156"/>
      <c r="W56" s="140">
        <f t="shared" si="3"/>
        <v>3152</v>
      </c>
    </row>
    <row r="57" spans="1:23" ht="29.25">
      <c r="A57" s="255" t="s">
        <v>7</v>
      </c>
      <c r="B57" s="152" t="s">
        <v>8</v>
      </c>
      <c r="C57" s="575" t="s">
        <v>1793</v>
      </c>
      <c r="D57" s="149" t="s">
        <v>1853</v>
      </c>
      <c r="E57" s="149"/>
      <c r="F57" s="152" t="s">
        <v>1792</v>
      </c>
      <c r="G57" s="152" t="s">
        <v>1793</v>
      </c>
      <c r="H57" s="306" t="s">
        <v>1854</v>
      </c>
      <c r="I57" s="179">
        <v>19574156</v>
      </c>
      <c r="J57" s="360" t="s">
        <v>149</v>
      </c>
      <c r="K57" s="231">
        <v>1</v>
      </c>
      <c r="L57" s="12">
        <f>8691-7751</f>
        <v>940</v>
      </c>
      <c r="M57" s="156"/>
      <c r="N57" s="156"/>
      <c r="O57" s="140">
        <f t="shared" si="0"/>
        <v>940</v>
      </c>
      <c r="P57" s="12">
        <f>8691-7751</f>
        <v>940</v>
      </c>
      <c r="Q57" s="156"/>
      <c r="R57" s="156"/>
      <c r="S57" s="140">
        <f t="shared" si="1"/>
        <v>940</v>
      </c>
      <c r="T57" s="12">
        <f t="shared" si="2"/>
        <v>1880</v>
      </c>
      <c r="U57" s="156"/>
      <c r="V57" s="156"/>
      <c r="W57" s="140">
        <f t="shared" si="3"/>
        <v>1880</v>
      </c>
    </row>
    <row r="58" spans="1:23" ht="29.25">
      <c r="A58" s="255" t="s">
        <v>7</v>
      </c>
      <c r="B58" s="152" t="s">
        <v>8</v>
      </c>
      <c r="C58" s="575" t="s">
        <v>1793</v>
      </c>
      <c r="D58" s="149"/>
      <c r="E58" s="149"/>
      <c r="F58" s="152" t="s">
        <v>1792</v>
      </c>
      <c r="G58" s="152" t="s">
        <v>1793</v>
      </c>
      <c r="H58" s="306" t="s">
        <v>1855</v>
      </c>
      <c r="I58" s="179">
        <v>8010935</v>
      </c>
      <c r="J58" s="360" t="s">
        <v>149</v>
      </c>
      <c r="K58" s="231">
        <v>4</v>
      </c>
      <c r="L58" s="12">
        <f>163072-160072</f>
        <v>3000</v>
      </c>
      <c r="M58" s="156"/>
      <c r="N58" s="156"/>
      <c r="O58" s="140">
        <f t="shared" si="0"/>
        <v>3000</v>
      </c>
      <c r="P58" s="12">
        <f>163072-160072</f>
        <v>3000</v>
      </c>
      <c r="Q58" s="156"/>
      <c r="R58" s="156"/>
      <c r="S58" s="140">
        <f t="shared" si="1"/>
        <v>3000</v>
      </c>
      <c r="T58" s="12">
        <f t="shared" si="2"/>
        <v>6000</v>
      </c>
      <c r="U58" s="156"/>
      <c r="V58" s="156"/>
      <c r="W58" s="140">
        <f t="shared" si="3"/>
        <v>6000</v>
      </c>
    </row>
    <row r="59" spans="1:23" ht="29.25">
      <c r="A59" s="255" t="s">
        <v>7</v>
      </c>
      <c r="B59" s="152" t="s">
        <v>8</v>
      </c>
      <c r="C59" s="575" t="s">
        <v>1793</v>
      </c>
      <c r="D59" s="149"/>
      <c r="E59" s="149"/>
      <c r="F59" s="152" t="s">
        <v>1792</v>
      </c>
      <c r="G59" s="152" t="s">
        <v>1793</v>
      </c>
      <c r="H59" s="306" t="s">
        <v>1856</v>
      </c>
      <c r="I59" s="179">
        <v>83426876</v>
      </c>
      <c r="J59" s="360" t="s">
        <v>149</v>
      </c>
      <c r="K59" s="231">
        <v>3</v>
      </c>
      <c r="L59" s="12">
        <f>49234-44534</f>
        <v>4700</v>
      </c>
      <c r="M59" s="156"/>
      <c r="N59" s="156"/>
      <c r="O59" s="140">
        <f t="shared" si="0"/>
        <v>4700</v>
      </c>
      <c r="P59" s="12">
        <f>49234-44534</f>
        <v>4700</v>
      </c>
      <c r="Q59" s="156"/>
      <c r="R59" s="156"/>
      <c r="S59" s="140">
        <f t="shared" si="1"/>
        <v>4700</v>
      </c>
      <c r="T59" s="12">
        <f t="shared" si="2"/>
        <v>9400</v>
      </c>
      <c r="U59" s="156"/>
      <c r="V59" s="156"/>
      <c r="W59" s="140">
        <f t="shared" si="3"/>
        <v>9400</v>
      </c>
    </row>
    <row r="60" spans="1:23" ht="29.25">
      <c r="A60" s="255" t="s">
        <v>7</v>
      </c>
      <c r="B60" s="152" t="s">
        <v>8</v>
      </c>
      <c r="C60" s="575" t="s">
        <v>2201</v>
      </c>
      <c r="D60" s="149"/>
      <c r="E60" s="149"/>
      <c r="F60" s="152" t="s">
        <v>1792</v>
      </c>
      <c r="G60" s="152" t="s">
        <v>1793</v>
      </c>
      <c r="H60" s="306" t="s">
        <v>1858</v>
      </c>
      <c r="I60" s="179">
        <v>1481169</v>
      </c>
      <c r="J60" s="360" t="s">
        <v>149</v>
      </c>
      <c r="K60" s="231">
        <v>2</v>
      </c>
      <c r="L60" s="12">
        <f>17539-16653</f>
        <v>886</v>
      </c>
      <c r="M60" s="156"/>
      <c r="N60" s="156"/>
      <c r="O60" s="140">
        <f t="shared" si="0"/>
        <v>886</v>
      </c>
      <c r="P60" s="12">
        <f>17539-16653</f>
        <v>886</v>
      </c>
      <c r="Q60" s="156"/>
      <c r="R60" s="156"/>
      <c r="S60" s="140">
        <f t="shared" si="1"/>
        <v>886</v>
      </c>
      <c r="T60" s="12">
        <f t="shared" si="2"/>
        <v>1772</v>
      </c>
      <c r="U60" s="156"/>
      <c r="V60" s="156"/>
      <c r="W60" s="140">
        <f t="shared" si="3"/>
        <v>1772</v>
      </c>
    </row>
    <row r="61" spans="1:23" ht="29.25">
      <c r="A61" s="255" t="s">
        <v>7</v>
      </c>
      <c r="B61" s="152" t="s">
        <v>8</v>
      </c>
      <c r="C61" s="575" t="s">
        <v>1857</v>
      </c>
      <c r="D61" s="149"/>
      <c r="E61" s="149">
        <v>3</v>
      </c>
      <c r="F61" s="152" t="s">
        <v>1792</v>
      </c>
      <c r="G61" s="152" t="s">
        <v>1793</v>
      </c>
      <c r="H61" s="306" t="s">
        <v>1859</v>
      </c>
      <c r="I61" s="180">
        <v>23154198</v>
      </c>
      <c r="J61" s="360" t="s">
        <v>149</v>
      </c>
      <c r="K61" s="499">
        <v>5</v>
      </c>
      <c r="L61" s="12">
        <f>50526-49727</f>
        <v>799</v>
      </c>
      <c r="M61" s="156"/>
      <c r="N61" s="156"/>
      <c r="O61" s="140">
        <f t="shared" si="0"/>
        <v>799</v>
      </c>
      <c r="P61" s="12">
        <f>50526-49727</f>
        <v>799</v>
      </c>
      <c r="Q61" s="156"/>
      <c r="R61" s="156"/>
      <c r="S61" s="140">
        <f t="shared" si="1"/>
        <v>799</v>
      </c>
      <c r="T61" s="12">
        <f t="shared" si="2"/>
        <v>1598</v>
      </c>
      <c r="U61" s="156"/>
      <c r="V61" s="156"/>
      <c r="W61" s="140">
        <f t="shared" si="3"/>
        <v>1598</v>
      </c>
    </row>
    <row r="62" spans="1:23" ht="29.25">
      <c r="A62" s="255" t="s">
        <v>7</v>
      </c>
      <c r="B62" s="152" t="s">
        <v>8</v>
      </c>
      <c r="C62" s="575" t="s">
        <v>1860</v>
      </c>
      <c r="D62" s="149"/>
      <c r="E62" s="149"/>
      <c r="F62" s="152" t="s">
        <v>1792</v>
      </c>
      <c r="G62" s="152" t="s">
        <v>1793</v>
      </c>
      <c r="H62" s="306" t="s">
        <v>1861</v>
      </c>
      <c r="I62" s="179">
        <v>25679908</v>
      </c>
      <c r="J62" s="360" t="s">
        <v>149</v>
      </c>
      <c r="K62" s="231">
        <v>2</v>
      </c>
      <c r="L62" s="12">
        <f>28862-24825</f>
        <v>4037</v>
      </c>
      <c r="M62" s="156"/>
      <c r="N62" s="156"/>
      <c r="O62" s="140">
        <f t="shared" si="0"/>
        <v>4037</v>
      </c>
      <c r="P62" s="12">
        <f>28862-24825</f>
        <v>4037</v>
      </c>
      <c r="Q62" s="156"/>
      <c r="R62" s="156"/>
      <c r="S62" s="140">
        <f t="shared" si="1"/>
        <v>4037</v>
      </c>
      <c r="T62" s="12">
        <f t="shared" si="2"/>
        <v>8074</v>
      </c>
      <c r="U62" s="156"/>
      <c r="V62" s="156"/>
      <c r="W62" s="140">
        <f t="shared" si="3"/>
        <v>8074</v>
      </c>
    </row>
    <row r="63" spans="1:23" ht="29.25">
      <c r="A63" s="255" t="s">
        <v>7</v>
      </c>
      <c r="B63" s="152" t="s">
        <v>8</v>
      </c>
      <c r="C63" s="575" t="s">
        <v>1860</v>
      </c>
      <c r="D63" s="149"/>
      <c r="E63" s="149">
        <v>20</v>
      </c>
      <c r="F63" s="152" t="s">
        <v>1792</v>
      </c>
      <c r="G63" s="152" t="s">
        <v>1793</v>
      </c>
      <c r="H63" s="306" t="s">
        <v>1862</v>
      </c>
      <c r="I63" s="179">
        <v>89212743</v>
      </c>
      <c r="J63" s="360" t="s">
        <v>149</v>
      </c>
      <c r="K63" s="231">
        <v>2</v>
      </c>
      <c r="L63" s="12">
        <f>10847-6744</f>
        <v>4103</v>
      </c>
      <c r="M63" s="156"/>
      <c r="N63" s="156"/>
      <c r="O63" s="140">
        <f t="shared" si="0"/>
        <v>4103</v>
      </c>
      <c r="P63" s="12">
        <f>10847-6744</f>
        <v>4103</v>
      </c>
      <c r="Q63" s="156"/>
      <c r="R63" s="156"/>
      <c r="S63" s="140">
        <f t="shared" si="1"/>
        <v>4103</v>
      </c>
      <c r="T63" s="12">
        <f t="shared" si="2"/>
        <v>8206</v>
      </c>
      <c r="U63" s="156"/>
      <c r="V63" s="156"/>
      <c r="W63" s="140">
        <f t="shared" si="3"/>
        <v>8206</v>
      </c>
    </row>
    <row r="64" spans="1:23" ht="29.25">
      <c r="A64" s="255" t="s">
        <v>7</v>
      </c>
      <c r="B64" s="152" t="s">
        <v>8</v>
      </c>
      <c r="C64" s="575" t="s">
        <v>1863</v>
      </c>
      <c r="D64" s="148"/>
      <c r="E64" s="149"/>
      <c r="F64" s="152" t="s">
        <v>1792</v>
      </c>
      <c r="G64" s="152" t="s">
        <v>1793</v>
      </c>
      <c r="H64" s="306" t="s">
        <v>1864</v>
      </c>
      <c r="I64" s="180">
        <v>25466920</v>
      </c>
      <c r="J64" s="360" t="s">
        <v>149</v>
      </c>
      <c r="K64" s="231">
        <v>4</v>
      </c>
      <c r="L64" s="12">
        <v>2495</v>
      </c>
      <c r="M64" s="156"/>
      <c r="N64" s="156"/>
      <c r="O64" s="140">
        <f t="shared" si="0"/>
        <v>2495</v>
      </c>
      <c r="P64" s="12">
        <v>2495</v>
      </c>
      <c r="Q64" s="156"/>
      <c r="R64" s="156"/>
      <c r="S64" s="140">
        <f t="shared" si="1"/>
        <v>2495</v>
      </c>
      <c r="T64" s="12">
        <f t="shared" si="2"/>
        <v>4990</v>
      </c>
      <c r="U64" s="156"/>
      <c r="V64" s="156"/>
      <c r="W64" s="140">
        <f t="shared" si="3"/>
        <v>4990</v>
      </c>
    </row>
    <row r="65" spans="1:23" ht="29.25">
      <c r="A65" s="255" t="s">
        <v>7</v>
      </c>
      <c r="B65" s="152" t="s">
        <v>8</v>
      </c>
      <c r="C65" s="575" t="s">
        <v>1866</v>
      </c>
      <c r="D65" s="148"/>
      <c r="E65" s="149"/>
      <c r="F65" s="152" t="s">
        <v>1792</v>
      </c>
      <c r="G65" s="152" t="s">
        <v>1793</v>
      </c>
      <c r="H65" s="306" t="s">
        <v>1865</v>
      </c>
      <c r="I65" s="179">
        <v>89212720</v>
      </c>
      <c r="J65" s="360" t="s">
        <v>149</v>
      </c>
      <c r="K65" s="231">
        <v>3</v>
      </c>
      <c r="L65" s="12">
        <f>5118-1779</f>
        <v>3339</v>
      </c>
      <c r="M65" s="156"/>
      <c r="N65" s="156"/>
      <c r="O65" s="140">
        <f t="shared" si="0"/>
        <v>3339</v>
      </c>
      <c r="P65" s="12">
        <f>5118-1779</f>
        <v>3339</v>
      </c>
      <c r="Q65" s="156"/>
      <c r="R65" s="156"/>
      <c r="S65" s="140">
        <f t="shared" si="1"/>
        <v>3339</v>
      </c>
      <c r="T65" s="12">
        <f t="shared" si="2"/>
        <v>6678</v>
      </c>
      <c r="U65" s="156"/>
      <c r="V65" s="156"/>
      <c r="W65" s="140">
        <f t="shared" si="3"/>
        <v>6678</v>
      </c>
    </row>
    <row r="66" spans="1:23" ht="29.25">
      <c r="A66" s="255" t="s">
        <v>7</v>
      </c>
      <c r="B66" s="152" t="s">
        <v>8</v>
      </c>
      <c r="C66" s="575" t="s">
        <v>1866</v>
      </c>
      <c r="D66" s="148"/>
      <c r="E66" s="149"/>
      <c r="F66" s="152" t="s">
        <v>1792</v>
      </c>
      <c r="G66" s="152" t="s">
        <v>1793</v>
      </c>
      <c r="H66" s="306" t="s">
        <v>1867</v>
      </c>
      <c r="I66" s="179">
        <v>23455101</v>
      </c>
      <c r="J66" s="360" t="s">
        <v>149</v>
      </c>
      <c r="K66" s="231">
        <v>3</v>
      </c>
      <c r="L66" s="12">
        <v>1039</v>
      </c>
      <c r="M66" s="156"/>
      <c r="N66" s="156"/>
      <c r="O66" s="140">
        <f t="shared" si="0"/>
        <v>1039</v>
      </c>
      <c r="P66" s="12">
        <v>1039</v>
      </c>
      <c r="Q66" s="156"/>
      <c r="R66" s="156"/>
      <c r="S66" s="140">
        <f t="shared" si="1"/>
        <v>1039</v>
      </c>
      <c r="T66" s="12">
        <f t="shared" si="2"/>
        <v>2078</v>
      </c>
      <c r="U66" s="156"/>
      <c r="V66" s="156"/>
      <c r="W66" s="140">
        <f t="shared" si="3"/>
        <v>2078</v>
      </c>
    </row>
    <row r="67" spans="1:23" ht="29.25">
      <c r="A67" s="255" t="s">
        <v>7</v>
      </c>
      <c r="B67" s="152" t="s">
        <v>8</v>
      </c>
      <c r="C67" s="575" t="s">
        <v>2202</v>
      </c>
      <c r="D67" s="148"/>
      <c r="E67" s="149"/>
      <c r="F67" s="152" t="s">
        <v>1792</v>
      </c>
      <c r="G67" s="152" t="s">
        <v>1793</v>
      </c>
      <c r="H67" s="306" t="s">
        <v>1868</v>
      </c>
      <c r="I67" s="179">
        <v>16948188</v>
      </c>
      <c r="J67" s="360" t="s">
        <v>149</v>
      </c>
      <c r="K67" s="231">
        <v>1</v>
      </c>
      <c r="L67" s="12">
        <f>53942-46712</f>
        <v>7230</v>
      </c>
      <c r="M67" s="156"/>
      <c r="N67" s="156"/>
      <c r="O67" s="140">
        <f t="shared" si="0"/>
        <v>7230</v>
      </c>
      <c r="P67" s="12">
        <f>53942-46712</f>
        <v>7230</v>
      </c>
      <c r="Q67" s="156"/>
      <c r="R67" s="156"/>
      <c r="S67" s="140">
        <f t="shared" si="1"/>
        <v>7230</v>
      </c>
      <c r="T67" s="12">
        <f t="shared" si="2"/>
        <v>14460</v>
      </c>
      <c r="U67" s="156"/>
      <c r="V67" s="156"/>
      <c r="W67" s="140">
        <f t="shared" si="3"/>
        <v>14460</v>
      </c>
    </row>
    <row r="68" spans="1:23" ht="29.25">
      <c r="A68" s="255" t="s">
        <v>7</v>
      </c>
      <c r="B68" s="152" t="s">
        <v>8</v>
      </c>
      <c r="C68" s="575" t="s">
        <v>1869</v>
      </c>
      <c r="D68" s="148"/>
      <c r="E68" s="149"/>
      <c r="F68" s="152" t="s">
        <v>1792</v>
      </c>
      <c r="G68" s="152" t="s">
        <v>1793</v>
      </c>
      <c r="H68" s="306" t="s">
        <v>1870</v>
      </c>
      <c r="I68" s="179">
        <v>11205206</v>
      </c>
      <c r="J68" s="360" t="s">
        <v>149</v>
      </c>
      <c r="K68" s="231">
        <v>1</v>
      </c>
      <c r="L68" s="12">
        <f>23983-21451</f>
        <v>2532</v>
      </c>
      <c r="M68" s="156"/>
      <c r="N68" s="156"/>
      <c r="O68" s="140">
        <f t="shared" si="0"/>
        <v>2532</v>
      </c>
      <c r="P68" s="12">
        <f>23983-21451</f>
        <v>2532</v>
      </c>
      <c r="Q68" s="156"/>
      <c r="R68" s="156"/>
      <c r="S68" s="140">
        <f t="shared" si="1"/>
        <v>2532</v>
      </c>
      <c r="T68" s="12">
        <f t="shared" si="2"/>
        <v>5064</v>
      </c>
      <c r="U68" s="156"/>
      <c r="V68" s="156"/>
      <c r="W68" s="140">
        <f t="shared" si="3"/>
        <v>5064</v>
      </c>
    </row>
    <row r="69" spans="1:23" ht="29.25">
      <c r="A69" s="255" t="s">
        <v>7</v>
      </c>
      <c r="B69" s="152" t="s">
        <v>8</v>
      </c>
      <c r="C69" s="575" t="s">
        <v>1871</v>
      </c>
      <c r="D69" s="148"/>
      <c r="E69" s="149"/>
      <c r="F69" s="152" t="s">
        <v>1792</v>
      </c>
      <c r="G69" s="152" t="s">
        <v>1793</v>
      </c>
      <c r="H69" s="306" t="s">
        <v>1872</v>
      </c>
      <c r="I69" s="179">
        <v>12642444</v>
      </c>
      <c r="J69" s="360" t="s">
        <v>149</v>
      </c>
      <c r="K69" s="231">
        <v>7</v>
      </c>
      <c r="L69" s="12">
        <f>25607-12838</f>
        <v>12769</v>
      </c>
      <c r="M69" s="156"/>
      <c r="N69" s="156"/>
      <c r="O69" s="140">
        <f t="shared" si="0"/>
        <v>12769</v>
      </c>
      <c r="P69" s="12">
        <f>25607-12838</f>
        <v>12769</v>
      </c>
      <c r="Q69" s="156"/>
      <c r="R69" s="156"/>
      <c r="S69" s="140">
        <f t="shared" si="1"/>
        <v>12769</v>
      </c>
      <c r="T69" s="12">
        <f t="shared" si="2"/>
        <v>25538</v>
      </c>
      <c r="U69" s="156"/>
      <c r="V69" s="156"/>
      <c r="W69" s="140">
        <f t="shared" si="3"/>
        <v>25538</v>
      </c>
    </row>
    <row r="70" spans="1:23" ht="29.25">
      <c r="A70" s="255" t="s">
        <v>7</v>
      </c>
      <c r="B70" s="152" t="s">
        <v>8</v>
      </c>
      <c r="C70" s="575" t="s">
        <v>1869</v>
      </c>
      <c r="D70" s="148"/>
      <c r="E70" s="149"/>
      <c r="F70" s="152" t="s">
        <v>1792</v>
      </c>
      <c r="G70" s="152" t="s">
        <v>1793</v>
      </c>
      <c r="H70" s="306" t="s">
        <v>1873</v>
      </c>
      <c r="I70" s="179">
        <v>23422128</v>
      </c>
      <c r="J70" s="360" t="s">
        <v>149</v>
      </c>
      <c r="K70" s="231">
        <v>0.6</v>
      </c>
      <c r="L70" s="12">
        <f>7144-6454</f>
        <v>690</v>
      </c>
      <c r="M70" s="156"/>
      <c r="N70" s="156"/>
      <c r="O70" s="140">
        <f t="shared" si="0"/>
        <v>690</v>
      </c>
      <c r="P70" s="12">
        <f>7144-6454</f>
        <v>690</v>
      </c>
      <c r="Q70" s="156"/>
      <c r="R70" s="156"/>
      <c r="S70" s="140">
        <f t="shared" si="1"/>
        <v>690</v>
      </c>
      <c r="T70" s="12">
        <f t="shared" si="2"/>
        <v>1380</v>
      </c>
      <c r="U70" s="156"/>
      <c r="V70" s="156"/>
      <c r="W70" s="140">
        <f t="shared" si="3"/>
        <v>1380</v>
      </c>
    </row>
    <row r="71" spans="1:23" ht="29.25">
      <c r="A71" s="255" t="s">
        <v>7</v>
      </c>
      <c r="B71" s="152" t="s">
        <v>8</v>
      </c>
      <c r="C71" s="575" t="s">
        <v>1874</v>
      </c>
      <c r="D71" s="148"/>
      <c r="E71" s="149">
        <v>2</v>
      </c>
      <c r="F71" s="152" t="s">
        <v>1792</v>
      </c>
      <c r="G71" s="152" t="s">
        <v>1793</v>
      </c>
      <c r="H71" s="306" t="s">
        <v>1875</v>
      </c>
      <c r="I71" s="179">
        <v>1567799</v>
      </c>
      <c r="J71" s="360" t="s">
        <v>149</v>
      </c>
      <c r="K71" s="231">
        <v>3</v>
      </c>
      <c r="L71" s="12">
        <f>18680-16977</f>
        <v>1703</v>
      </c>
      <c r="M71" s="156"/>
      <c r="N71" s="156"/>
      <c r="O71" s="140">
        <f t="shared" si="0"/>
        <v>1703</v>
      </c>
      <c r="P71" s="12">
        <f>18680-16977</f>
        <v>1703</v>
      </c>
      <c r="Q71" s="156"/>
      <c r="R71" s="156"/>
      <c r="S71" s="140">
        <f t="shared" si="1"/>
        <v>1703</v>
      </c>
      <c r="T71" s="12">
        <f t="shared" si="2"/>
        <v>3406</v>
      </c>
      <c r="U71" s="156"/>
      <c r="V71" s="156"/>
      <c r="W71" s="140">
        <f t="shared" si="3"/>
        <v>3406</v>
      </c>
    </row>
    <row r="72" spans="1:23" ht="29.25">
      <c r="A72" s="255" t="s">
        <v>7</v>
      </c>
      <c r="B72" s="152" t="s">
        <v>8</v>
      </c>
      <c r="C72" s="575" t="s">
        <v>1876</v>
      </c>
      <c r="D72" s="148"/>
      <c r="E72" s="149"/>
      <c r="F72" s="152" t="s">
        <v>1792</v>
      </c>
      <c r="G72" s="152" t="s">
        <v>1793</v>
      </c>
      <c r="H72" s="306" t="s">
        <v>1877</v>
      </c>
      <c r="I72" s="179">
        <v>90904580</v>
      </c>
      <c r="J72" s="360" t="s">
        <v>149</v>
      </c>
      <c r="K72" s="231">
        <v>1.5</v>
      </c>
      <c r="L72" s="12">
        <f>31169-22676</f>
        <v>8493</v>
      </c>
      <c r="M72" s="156"/>
      <c r="N72" s="156"/>
      <c r="O72" s="140">
        <f t="shared" si="0"/>
        <v>8493</v>
      </c>
      <c r="P72" s="12">
        <f>31169-22676</f>
        <v>8493</v>
      </c>
      <c r="Q72" s="156"/>
      <c r="R72" s="156"/>
      <c r="S72" s="140">
        <f t="shared" si="1"/>
        <v>8493</v>
      </c>
      <c r="T72" s="12">
        <f t="shared" si="2"/>
        <v>16986</v>
      </c>
      <c r="U72" s="156"/>
      <c r="V72" s="156"/>
      <c r="W72" s="140">
        <f t="shared" si="3"/>
        <v>16986</v>
      </c>
    </row>
    <row r="73" spans="1:23" ht="29.25">
      <c r="A73" s="255" t="s">
        <v>7</v>
      </c>
      <c r="B73" s="152" t="s">
        <v>8</v>
      </c>
      <c r="C73" s="575" t="s">
        <v>1876</v>
      </c>
      <c r="D73" s="148"/>
      <c r="E73" s="149"/>
      <c r="F73" s="152" t="s">
        <v>1792</v>
      </c>
      <c r="G73" s="152" t="s">
        <v>1793</v>
      </c>
      <c r="H73" s="306" t="s">
        <v>1878</v>
      </c>
      <c r="I73" s="179">
        <v>20549791</v>
      </c>
      <c r="J73" s="360" t="s">
        <v>149</v>
      </c>
      <c r="K73" s="231">
        <v>1.5</v>
      </c>
      <c r="L73" s="12">
        <v>2539</v>
      </c>
      <c r="M73" s="156"/>
      <c r="N73" s="156"/>
      <c r="O73" s="140">
        <f t="shared" si="0"/>
        <v>2539</v>
      </c>
      <c r="P73" s="12">
        <v>2539</v>
      </c>
      <c r="Q73" s="156"/>
      <c r="R73" s="156"/>
      <c r="S73" s="140">
        <f t="shared" si="1"/>
        <v>2539</v>
      </c>
      <c r="T73" s="12">
        <f t="shared" si="2"/>
        <v>5078</v>
      </c>
      <c r="U73" s="156"/>
      <c r="V73" s="156"/>
      <c r="W73" s="140">
        <f t="shared" si="3"/>
        <v>5078</v>
      </c>
    </row>
    <row r="74" spans="1:23" ht="29.25">
      <c r="A74" s="255" t="s">
        <v>7</v>
      </c>
      <c r="B74" s="149" t="s">
        <v>8</v>
      </c>
      <c r="C74" s="575" t="s">
        <v>1874</v>
      </c>
      <c r="D74" s="148"/>
      <c r="E74" s="149"/>
      <c r="F74" s="152" t="s">
        <v>1792</v>
      </c>
      <c r="G74" s="152" t="s">
        <v>1793</v>
      </c>
      <c r="H74" s="306" t="s">
        <v>1879</v>
      </c>
      <c r="I74" s="179">
        <v>1567787</v>
      </c>
      <c r="J74" s="360" t="s">
        <v>149</v>
      </c>
      <c r="K74" s="231">
        <v>3</v>
      </c>
      <c r="L74" s="12">
        <f>18365-17351</f>
        <v>1014</v>
      </c>
      <c r="M74" s="156"/>
      <c r="N74" s="156"/>
      <c r="O74" s="140">
        <f t="shared" si="0"/>
        <v>1014</v>
      </c>
      <c r="P74" s="12">
        <f>18365-17351</f>
        <v>1014</v>
      </c>
      <c r="Q74" s="156"/>
      <c r="R74" s="156"/>
      <c r="S74" s="140">
        <f t="shared" si="1"/>
        <v>1014</v>
      </c>
      <c r="T74" s="12">
        <f t="shared" si="2"/>
        <v>2028</v>
      </c>
      <c r="U74" s="156"/>
      <c r="V74" s="156"/>
      <c r="W74" s="140">
        <f t="shared" si="3"/>
        <v>2028</v>
      </c>
    </row>
    <row r="75" spans="1:23" ht="29.25">
      <c r="A75" s="233" t="s">
        <v>7</v>
      </c>
      <c r="B75" s="152" t="s">
        <v>8</v>
      </c>
      <c r="C75" s="574" t="s">
        <v>1880</v>
      </c>
      <c r="D75" s="48"/>
      <c r="E75" s="48"/>
      <c r="F75" s="152" t="s">
        <v>1792</v>
      </c>
      <c r="G75" s="152" t="s">
        <v>1793</v>
      </c>
      <c r="H75" s="306" t="s">
        <v>1881</v>
      </c>
      <c r="I75" s="48">
        <v>104027</v>
      </c>
      <c r="J75" s="360" t="s">
        <v>149</v>
      </c>
      <c r="K75" s="231">
        <v>2</v>
      </c>
      <c r="L75" s="12">
        <f>13693-10795</f>
        <v>2898</v>
      </c>
      <c r="M75" s="156"/>
      <c r="N75" s="156"/>
      <c r="O75" s="140">
        <f t="shared" si="0"/>
        <v>2898</v>
      </c>
      <c r="P75" s="12">
        <f>13693-10795</f>
        <v>2898</v>
      </c>
      <c r="Q75" s="156"/>
      <c r="R75" s="156"/>
      <c r="S75" s="140">
        <f t="shared" si="1"/>
        <v>2898</v>
      </c>
      <c r="T75" s="12">
        <f t="shared" si="2"/>
        <v>5796</v>
      </c>
      <c r="U75" s="156"/>
      <c r="V75" s="156"/>
      <c r="W75" s="140">
        <f t="shared" si="3"/>
        <v>5796</v>
      </c>
    </row>
    <row r="76" spans="1:23" ht="29.25">
      <c r="A76" s="321" t="s">
        <v>7</v>
      </c>
      <c r="B76" s="281" t="s">
        <v>8</v>
      </c>
      <c r="C76" s="87" t="s">
        <v>1880</v>
      </c>
      <c r="D76" s="52"/>
      <c r="E76" s="52"/>
      <c r="F76" s="152" t="s">
        <v>1792</v>
      </c>
      <c r="G76" s="152" t="s">
        <v>1793</v>
      </c>
      <c r="H76" s="306" t="s">
        <v>1882</v>
      </c>
      <c r="I76" s="52">
        <v>1481166</v>
      </c>
      <c r="J76" s="360" t="s">
        <v>149</v>
      </c>
      <c r="K76" s="231">
        <v>2</v>
      </c>
      <c r="L76" s="12">
        <f>12300-9977</f>
        <v>2323</v>
      </c>
      <c r="M76" s="156"/>
      <c r="N76" s="156"/>
      <c r="O76" s="140">
        <f t="shared" si="0"/>
        <v>2323</v>
      </c>
      <c r="P76" s="12">
        <f>12300-9977</f>
        <v>2323</v>
      </c>
      <c r="Q76" s="156"/>
      <c r="R76" s="156"/>
      <c r="S76" s="140">
        <f t="shared" si="1"/>
        <v>2323</v>
      </c>
      <c r="T76" s="12">
        <f t="shared" si="2"/>
        <v>4646</v>
      </c>
      <c r="U76" s="156"/>
      <c r="V76" s="156"/>
      <c r="W76" s="140">
        <f t="shared" si="3"/>
        <v>4646</v>
      </c>
    </row>
    <row r="77" spans="1:23" s="46" customFormat="1" ht="29.25">
      <c r="A77" s="234" t="s">
        <v>7</v>
      </c>
      <c r="B77" s="477" t="s">
        <v>8</v>
      </c>
      <c r="C77" s="576" t="s">
        <v>1880</v>
      </c>
      <c r="D77" s="52"/>
      <c r="E77" s="51"/>
      <c r="F77" s="152" t="s">
        <v>1792</v>
      </c>
      <c r="G77" s="152" t="s">
        <v>1793</v>
      </c>
      <c r="H77" s="306" t="s">
        <v>1883</v>
      </c>
      <c r="I77" s="51">
        <v>24918460</v>
      </c>
      <c r="J77" s="360" t="s">
        <v>149</v>
      </c>
      <c r="K77" s="231">
        <v>2</v>
      </c>
      <c r="L77" s="12">
        <f>101506-91849</f>
        <v>9657</v>
      </c>
      <c r="M77" s="156"/>
      <c r="N77" s="156"/>
      <c r="O77" s="140">
        <f t="shared" si="0"/>
        <v>9657</v>
      </c>
      <c r="P77" s="12">
        <f>101506-91849</f>
        <v>9657</v>
      </c>
      <c r="Q77" s="156"/>
      <c r="R77" s="156"/>
      <c r="S77" s="140">
        <f t="shared" si="1"/>
        <v>9657</v>
      </c>
      <c r="T77" s="12">
        <f t="shared" si="2"/>
        <v>19314</v>
      </c>
      <c r="U77" s="156"/>
      <c r="V77" s="156"/>
      <c r="W77" s="140">
        <f t="shared" si="3"/>
        <v>19314</v>
      </c>
    </row>
    <row r="78" spans="1:23" s="46" customFormat="1" ht="29.25">
      <c r="A78" s="255" t="s">
        <v>7</v>
      </c>
      <c r="B78" s="477" t="s">
        <v>8</v>
      </c>
      <c r="C78" s="575" t="s">
        <v>1880</v>
      </c>
      <c r="D78" s="149" t="s">
        <v>2044</v>
      </c>
      <c r="E78" s="149"/>
      <c r="F78" s="152" t="s">
        <v>1792</v>
      </c>
      <c r="G78" s="152" t="s">
        <v>1793</v>
      </c>
      <c r="H78" s="306" t="s">
        <v>2045</v>
      </c>
      <c r="I78" s="179">
        <v>83180431</v>
      </c>
      <c r="J78" s="137" t="s">
        <v>149</v>
      </c>
      <c r="K78" s="231">
        <v>2</v>
      </c>
      <c r="L78" s="12">
        <f>1150-55</f>
        <v>1095</v>
      </c>
      <c r="M78" s="156"/>
      <c r="N78" s="156"/>
      <c r="O78" s="140">
        <f t="shared" si="0"/>
        <v>1095</v>
      </c>
      <c r="P78" s="12">
        <f>1150-55</f>
        <v>1095</v>
      </c>
      <c r="Q78" s="156"/>
      <c r="R78" s="156"/>
      <c r="S78" s="140">
        <f t="shared" si="1"/>
        <v>1095</v>
      </c>
      <c r="T78" s="12">
        <f t="shared" si="2"/>
        <v>2190</v>
      </c>
      <c r="U78" s="156"/>
      <c r="V78" s="156"/>
      <c r="W78" s="140">
        <f t="shared" si="3"/>
        <v>2190</v>
      </c>
    </row>
    <row r="79" spans="1:23" s="46" customFormat="1" ht="29.25">
      <c r="A79" s="255" t="s">
        <v>7</v>
      </c>
      <c r="B79" s="149" t="s">
        <v>8</v>
      </c>
      <c r="C79" s="87" t="s">
        <v>1832</v>
      </c>
      <c r="D79" s="51"/>
      <c r="E79" s="51"/>
      <c r="F79" s="152" t="s">
        <v>1792</v>
      </c>
      <c r="G79" s="152" t="s">
        <v>1793</v>
      </c>
      <c r="H79" s="306" t="s">
        <v>2046</v>
      </c>
      <c r="I79" s="51">
        <v>83636792</v>
      </c>
      <c r="J79" s="360" t="s">
        <v>149</v>
      </c>
      <c r="K79" s="231">
        <v>1</v>
      </c>
      <c r="L79" s="12">
        <f>3391-2760</f>
        <v>631</v>
      </c>
      <c r="M79" s="156"/>
      <c r="N79" s="156"/>
      <c r="O79" s="140">
        <f t="shared" si="0"/>
        <v>631</v>
      </c>
      <c r="P79" s="12">
        <f>3391-2760</f>
        <v>631</v>
      </c>
      <c r="Q79" s="156"/>
      <c r="R79" s="156"/>
      <c r="S79" s="140">
        <f t="shared" si="1"/>
        <v>631</v>
      </c>
      <c r="T79" s="12">
        <f t="shared" si="2"/>
        <v>1262</v>
      </c>
      <c r="U79" s="156"/>
      <c r="V79" s="156"/>
      <c r="W79" s="140">
        <f t="shared" si="3"/>
        <v>1262</v>
      </c>
    </row>
    <row r="80" spans="1:23" s="46" customFormat="1" ht="29.25">
      <c r="A80" s="255" t="s">
        <v>7</v>
      </c>
      <c r="B80" s="152" t="s">
        <v>8</v>
      </c>
      <c r="C80" s="574" t="s">
        <v>1793</v>
      </c>
      <c r="D80" s="48" t="s">
        <v>194</v>
      </c>
      <c r="E80" s="51"/>
      <c r="F80" s="152" t="s">
        <v>1792</v>
      </c>
      <c r="G80" s="152" t="s">
        <v>1793</v>
      </c>
      <c r="H80" s="306" t="s">
        <v>2048</v>
      </c>
      <c r="I80" s="75">
        <v>89004852</v>
      </c>
      <c r="J80" s="137" t="s">
        <v>149</v>
      </c>
      <c r="K80" s="665">
        <v>4</v>
      </c>
      <c r="L80" s="12">
        <f>805-352</f>
        <v>453</v>
      </c>
      <c r="M80" s="156"/>
      <c r="N80" s="156"/>
      <c r="O80" s="140">
        <f t="shared" si="0"/>
        <v>453</v>
      </c>
      <c r="P80" s="12">
        <f>805-352</f>
        <v>453</v>
      </c>
      <c r="Q80" s="156"/>
      <c r="R80" s="156"/>
      <c r="S80" s="140">
        <f t="shared" si="1"/>
        <v>453</v>
      </c>
      <c r="T80" s="12">
        <f t="shared" si="2"/>
        <v>906</v>
      </c>
      <c r="U80" s="156"/>
      <c r="V80" s="156"/>
      <c r="W80" s="140">
        <f t="shared" si="3"/>
        <v>906</v>
      </c>
    </row>
    <row r="81" spans="1:23" ht="29.25">
      <c r="A81" s="255" t="s">
        <v>7</v>
      </c>
      <c r="B81" s="152" t="s">
        <v>8</v>
      </c>
      <c r="C81" s="574" t="s">
        <v>1793</v>
      </c>
      <c r="D81" s="48" t="s">
        <v>89</v>
      </c>
      <c r="E81" s="51"/>
      <c r="F81" s="152" t="s">
        <v>1792</v>
      </c>
      <c r="G81" s="152" t="s">
        <v>1793</v>
      </c>
      <c r="H81" s="306" t="s">
        <v>2051</v>
      </c>
      <c r="I81" s="75">
        <v>89004914</v>
      </c>
      <c r="J81" s="360" t="s">
        <v>149</v>
      </c>
      <c r="K81" s="665">
        <v>3</v>
      </c>
      <c r="L81" s="12">
        <f>1803-802</f>
        <v>1001</v>
      </c>
      <c r="M81" s="156"/>
      <c r="N81" s="156"/>
      <c r="O81" s="140">
        <f t="shared" si="0"/>
        <v>1001</v>
      </c>
      <c r="P81" s="12">
        <f>1803-802</f>
        <v>1001</v>
      </c>
      <c r="Q81" s="156"/>
      <c r="R81" s="156"/>
      <c r="S81" s="140">
        <f t="shared" si="1"/>
        <v>1001</v>
      </c>
      <c r="T81" s="12">
        <f t="shared" si="2"/>
        <v>2002</v>
      </c>
      <c r="U81" s="156"/>
      <c r="V81" s="156"/>
      <c r="W81" s="140">
        <f t="shared" si="3"/>
        <v>2002</v>
      </c>
    </row>
    <row r="82" spans="1:23" ht="29.25">
      <c r="A82" s="255" t="s">
        <v>7</v>
      </c>
      <c r="B82" s="152" t="s">
        <v>8</v>
      </c>
      <c r="C82" s="574" t="s">
        <v>1793</v>
      </c>
      <c r="D82" s="48" t="s">
        <v>350</v>
      </c>
      <c r="E82" s="51"/>
      <c r="F82" s="152" t="s">
        <v>1792</v>
      </c>
      <c r="G82" s="152" t="s">
        <v>1793</v>
      </c>
      <c r="H82" s="306" t="s">
        <v>2052</v>
      </c>
      <c r="I82" s="75">
        <v>89004887</v>
      </c>
      <c r="J82" s="137" t="s">
        <v>149</v>
      </c>
      <c r="K82" s="665">
        <v>1</v>
      </c>
      <c r="L82" s="12">
        <f>645-270</f>
        <v>375</v>
      </c>
      <c r="M82" s="156"/>
      <c r="N82" s="156"/>
      <c r="O82" s="140">
        <f t="shared" si="0"/>
        <v>375</v>
      </c>
      <c r="P82" s="12">
        <f>645-270</f>
        <v>375</v>
      </c>
      <c r="Q82" s="156"/>
      <c r="R82" s="156"/>
      <c r="S82" s="140">
        <f t="shared" si="1"/>
        <v>375</v>
      </c>
      <c r="T82" s="12">
        <f t="shared" si="2"/>
        <v>750</v>
      </c>
      <c r="U82" s="156"/>
      <c r="V82" s="156"/>
      <c r="W82" s="140">
        <f t="shared" si="3"/>
        <v>750</v>
      </c>
    </row>
    <row r="83" spans="1:23" ht="29.25">
      <c r="A83" s="255" t="s">
        <v>7</v>
      </c>
      <c r="B83" s="152" t="s">
        <v>8</v>
      </c>
      <c r="C83" s="574" t="s">
        <v>1793</v>
      </c>
      <c r="D83" s="48" t="s">
        <v>2097</v>
      </c>
      <c r="E83" s="51"/>
      <c r="F83" s="152" t="s">
        <v>1792</v>
      </c>
      <c r="G83" s="152" t="s">
        <v>1793</v>
      </c>
      <c r="H83" s="306" t="s">
        <v>2096</v>
      </c>
      <c r="I83" s="75">
        <v>89004715</v>
      </c>
      <c r="J83" s="137" t="s">
        <v>149</v>
      </c>
      <c r="K83" s="665">
        <v>3</v>
      </c>
      <c r="L83" s="12">
        <f>2218-977</f>
        <v>1241</v>
      </c>
      <c r="M83" s="156"/>
      <c r="N83" s="156"/>
      <c r="O83" s="140">
        <f aca="true" t="shared" si="4" ref="O83:O96">L83</f>
        <v>1241</v>
      </c>
      <c r="P83" s="12">
        <f>2218-977</f>
        <v>1241</v>
      </c>
      <c r="Q83" s="156"/>
      <c r="R83" s="156"/>
      <c r="S83" s="140">
        <f t="shared" si="1"/>
        <v>1241</v>
      </c>
      <c r="T83" s="12">
        <f t="shared" si="2"/>
        <v>2482</v>
      </c>
      <c r="U83" s="156"/>
      <c r="V83" s="156"/>
      <c r="W83" s="140">
        <f t="shared" si="3"/>
        <v>2482</v>
      </c>
    </row>
    <row r="84" spans="1:23" ht="29.25">
      <c r="A84" s="255" t="s">
        <v>7</v>
      </c>
      <c r="B84" s="152" t="s">
        <v>8</v>
      </c>
      <c r="C84" s="574" t="s">
        <v>1836</v>
      </c>
      <c r="D84" s="48"/>
      <c r="E84" s="51"/>
      <c r="F84" s="152" t="s">
        <v>1792</v>
      </c>
      <c r="G84" s="152" t="s">
        <v>1793</v>
      </c>
      <c r="H84" s="306" t="s">
        <v>2098</v>
      </c>
      <c r="I84" s="75">
        <v>89004988</v>
      </c>
      <c r="J84" s="137" t="s">
        <v>149</v>
      </c>
      <c r="K84" s="665">
        <v>1</v>
      </c>
      <c r="L84" s="12">
        <f>996-1</f>
        <v>995</v>
      </c>
      <c r="M84" s="156"/>
      <c r="N84" s="156"/>
      <c r="O84" s="140">
        <f t="shared" si="4"/>
        <v>995</v>
      </c>
      <c r="P84" s="12">
        <f>996-1</f>
        <v>995</v>
      </c>
      <c r="Q84" s="156"/>
      <c r="R84" s="156"/>
      <c r="S84" s="140">
        <f aca="true" t="shared" si="5" ref="S84:S96">P84</f>
        <v>995</v>
      </c>
      <c r="T84" s="12">
        <f aca="true" t="shared" si="6" ref="T84:T97">O84+S84</f>
        <v>1990</v>
      </c>
      <c r="U84" s="156"/>
      <c r="V84" s="156"/>
      <c r="W84" s="140">
        <f aca="true" t="shared" si="7" ref="W84:W96">T84</f>
        <v>1990</v>
      </c>
    </row>
    <row r="85" spans="1:23" ht="29.25">
      <c r="A85" s="255" t="s">
        <v>7</v>
      </c>
      <c r="B85" s="152" t="s">
        <v>8</v>
      </c>
      <c r="C85" s="574" t="s">
        <v>1832</v>
      </c>
      <c r="D85" s="48"/>
      <c r="E85" s="56" t="s">
        <v>2099</v>
      </c>
      <c r="F85" s="152" t="s">
        <v>1792</v>
      </c>
      <c r="G85" s="152" t="s">
        <v>1793</v>
      </c>
      <c r="H85" s="306" t="s">
        <v>2100</v>
      </c>
      <c r="I85" s="75">
        <v>95803608</v>
      </c>
      <c r="J85" s="137" t="s">
        <v>149</v>
      </c>
      <c r="K85" s="665">
        <v>2</v>
      </c>
      <c r="L85" s="12">
        <f>556-0</f>
        <v>556</v>
      </c>
      <c r="M85" s="156"/>
      <c r="N85" s="156"/>
      <c r="O85" s="140">
        <f t="shared" si="4"/>
        <v>556</v>
      </c>
      <c r="P85" s="12">
        <f>556-0</f>
        <v>556</v>
      </c>
      <c r="Q85" s="156"/>
      <c r="R85" s="156"/>
      <c r="S85" s="140">
        <f t="shared" si="5"/>
        <v>556</v>
      </c>
      <c r="T85" s="12">
        <f t="shared" si="6"/>
        <v>1112</v>
      </c>
      <c r="U85" s="156"/>
      <c r="V85" s="156"/>
      <c r="W85" s="140">
        <f t="shared" si="7"/>
        <v>1112</v>
      </c>
    </row>
    <row r="86" spans="1:23" ht="29.25">
      <c r="A86" s="255" t="s">
        <v>7</v>
      </c>
      <c r="B86" s="152" t="s">
        <v>8</v>
      </c>
      <c r="C86" s="574" t="s">
        <v>1803</v>
      </c>
      <c r="D86" s="48"/>
      <c r="E86" s="51">
        <v>1</v>
      </c>
      <c r="F86" s="152" t="s">
        <v>1792</v>
      </c>
      <c r="G86" s="152" t="s">
        <v>1793</v>
      </c>
      <c r="H86" s="306" t="s">
        <v>2101</v>
      </c>
      <c r="I86" s="75">
        <v>95803669</v>
      </c>
      <c r="J86" s="137" t="s">
        <v>149</v>
      </c>
      <c r="K86" s="665">
        <v>1</v>
      </c>
      <c r="L86" s="12">
        <f>322-5</f>
        <v>317</v>
      </c>
      <c r="M86" s="156"/>
      <c r="N86" s="156"/>
      <c r="O86" s="140">
        <f t="shared" si="4"/>
        <v>317</v>
      </c>
      <c r="P86" s="12">
        <f>322-5</f>
        <v>317</v>
      </c>
      <c r="Q86" s="156"/>
      <c r="R86" s="156"/>
      <c r="S86" s="140">
        <f t="shared" si="5"/>
        <v>317</v>
      </c>
      <c r="T86" s="12">
        <f t="shared" si="6"/>
        <v>634</v>
      </c>
      <c r="U86" s="156"/>
      <c r="V86" s="156"/>
      <c r="W86" s="140">
        <f t="shared" si="7"/>
        <v>634</v>
      </c>
    </row>
    <row r="87" spans="1:23" ht="29.25">
      <c r="A87" s="255" t="s">
        <v>7</v>
      </c>
      <c r="B87" s="152" t="s">
        <v>8</v>
      </c>
      <c r="C87" s="574" t="s">
        <v>1836</v>
      </c>
      <c r="D87" s="48" t="s">
        <v>395</v>
      </c>
      <c r="E87" s="51" t="s">
        <v>2197</v>
      </c>
      <c r="F87" s="152" t="s">
        <v>1792</v>
      </c>
      <c r="G87" s="152" t="s">
        <v>1793</v>
      </c>
      <c r="H87" s="306" t="s">
        <v>2198</v>
      </c>
      <c r="I87" s="75">
        <v>95803240</v>
      </c>
      <c r="J87" s="137" t="s">
        <v>149</v>
      </c>
      <c r="K87" s="562">
        <v>2</v>
      </c>
      <c r="L87" s="12">
        <f>25*14</f>
        <v>350</v>
      </c>
      <c r="M87" s="156"/>
      <c r="N87" s="156"/>
      <c r="O87" s="140">
        <f t="shared" si="4"/>
        <v>350</v>
      </c>
      <c r="P87" s="12">
        <f>25*14</f>
        <v>350</v>
      </c>
      <c r="Q87" s="156"/>
      <c r="R87" s="156"/>
      <c r="S87" s="140">
        <f t="shared" si="5"/>
        <v>350</v>
      </c>
      <c r="T87" s="12">
        <f t="shared" si="6"/>
        <v>700</v>
      </c>
      <c r="U87" s="156"/>
      <c r="V87" s="156"/>
      <c r="W87" s="140">
        <f t="shared" si="7"/>
        <v>700</v>
      </c>
    </row>
    <row r="88" spans="1:23" ht="29.25">
      <c r="A88" s="255" t="s">
        <v>7</v>
      </c>
      <c r="B88" s="152" t="s">
        <v>8</v>
      </c>
      <c r="C88" s="48" t="s">
        <v>2205</v>
      </c>
      <c r="D88" s="48"/>
      <c r="E88" s="40" t="s">
        <v>2206</v>
      </c>
      <c r="F88" s="152" t="s">
        <v>1792</v>
      </c>
      <c r="G88" s="152" t="s">
        <v>1793</v>
      </c>
      <c r="H88" s="306" t="s">
        <v>2207</v>
      </c>
      <c r="I88" s="48">
        <v>95802940</v>
      </c>
      <c r="J88" s="163" t="s">
        <v>149</v>
      </c>
      <c r="K88" s="625">
        <v>2</v>
      </c>
      <c r="L88" s="49">
        <f>900</f>
        <v>900</v>
      </c>
      <c r="M88" s="153"/>
      <c r="N88" s="153"/>
      <c r="O88" s="140">
        <f>L88</f>
        <v>900</v>
      </c>
      <c r="P88" s="49">
        <f>900</f>
        <v>900</v>
      </c>
      <c r="Q88" s="153"/>
      <c r="R88" s="153"/>
      <c r="S88" s="140">
        <f>P88</f>
        <v>900</v>
      </c>
      <c r="T88" s="12">
        <f>O88+S88</f>
        <v>1800</v>
      </c>
      <c r="U88" s="153"/>
      <c r="V88" s="153"/>
      <c r="W88" s="140">
        <f>T88</f>
        <v>1800</v>
      </c>
    </row>
    <row r="89" spans="1:23" ht="29.25">
      <c r="A89" s="255" t="s">
        <v>7</v>
      </c>
      <c r="B89" s="152" t="s">
        <v>8</v>
      </c>
      <c r="C89" s="152" t="s">
        <v>1803</v>
      </c>
      <c r="D89" s="151"/>
      <c r="E89" s="152"/>
      <c r="F89" s="152" t="s">
        <v>1792</v>
      </c>
      <c r="G89" s="152" t="s">
        <v>1793</v>
      </c>
      <c r="H89" s="306" t="s">
        <v>2147</v>
      </c>
      <c r="I89" s="179">
        <v>89213186</v>
      </c>
      <c r="J89" s="4" t="s">
        <v>147</v>
      </c>
      <c r="K89" s="231">
        <v>3</v>
      </c>
      <c r="L89" s="12">
        <f>3853-1844</f>
        <v>2009</v>
      </c>
      <c r="M89" s="156"/>
      <c r="N89" s="156"/>
      <c r="O89" s="140">
        <f t="shared" si="4"/>
        <v>2009</v>
      </c>
      <c r="P89" s="12">
        <f>3853-1844</f>
        <v>2009</v>
      </c>
      <c r="Q89" s="156"/>
      <c r="R89" s="156"/>
      <c r="S89" s="140">
        <f t="shared" si="5"/>
        <v>2009</v>
      </c>
      <c r="T89" s="12">
        <f t="shared" si="6"/>
        <v>4018</v>
      </c>
      <c r="U89" s="156"/>
      <c r="V89" s="156"/>
      <c r="W89" s="140">
        <f t="shared" si="7"/>
        <v>4018</v>
      </c>
    </row>
    <row r="90" spans="1:23" ht="29.25">
      <c r="A90" s="255" t="s">
        <v>7</v>
      </c>
      <c r="B90" s="152" t="s">
        <v>8</v>
      </c>
      <c r="C90" s="577" t="s">
        <v>1866</v>
      </c>
      <c r="D90" s="152"/>
      <c r="E90" s="149"/>
      <c r="F90" s="152" t="s">
        <v>1792</v>
      </c>
      <c r="G90" s="152" t="s">
        <v>1793</v>
      </c>
      <c r="H90" s="306" t="s">
        <v>2027</v>
      </c>
      <c r="I90" s="179">
        <v>21008642</v>
      </c>
      <c r="J90" s="4" t="s">
        <v>147</v>
      </c>
      <c r="K90" s="231">
        <v>0.3</v>
      </c>
      <c r="L90" s="12">
        <f>17959-16494</f>
        <v>1465</v>
      </c>
      <c r="M90" s="156"/>
      <c r="N90" s="156"/>
      <c r="O90" s="140">
        <f t="shared" si="4"/>
        <v>1465</v>
      </c>
      <c r="P90" s="12">
        <f>17959-16494</f>
        <v>1465</v>
      </c>
      <c r="Q90" s="156"/>
      <c r="R90" s="156"/>
      <c r="S90" s="140">
        <f t="shared" si="5"/>
        <v>1465</v>
      </c>
      <c r="T90" s="12">
        <f t="shared" si="6"/>
        <v>2930</v>
      </c>
      <c r="U90" s="156"/>
      <c r="V90" s="156"/>
      <c r="W90" s="140">
        <f t="shared" si="7"/>
        <v>2930</v>
      </c>
    </row>
    <row r="91" spans="1:23" s="432" customFormat="1" ht="29.25">
      <c r="A91" s="255" t="s">
        <v>7</v>
      </c>
      <c r="B91" s="149" t="s">
        <v>8</v>
      </c>
      <c r="C91" s="87" t="s">
        <v>1793</v>
      </c>
      <c r="D91" s="51" t="s">
        <v>39</v>
      </c>
      <c r="E91" s="51"/>
      <c r="F91" s="149" t="s">
        <v>1792</v>
      </c>
      <c r="G91" s="149" t="s">
        <v>1793</v>
      </c>
      <c r="H91" s="306" t="s">
        <v>2049</v>
      </c>
      <c r="I91" s="75">
        <v>89004926</v>
      </c>
      <c r="J91" s="4" t="s">
        <v>147</v>
      </c>
      <c r="K91" s="665">
        <v>2</v>
      </c>
      <c r="L91" s="12">
        <f>783-350</f>
        <v>433</v>
      </c>
      <c r="M91" s="730"/>
      <c r="N91" s="156"/>
      <c r="O91" s="140">
        <f t="shared" si="4"/>
        <v>433</v>
      </c>
      <c r="P91" s="12">
        <f>783-350</f>
        <v>433</v>
      </c>
      <c r="Q91" s="730"/>
      <c r="R91" s="156"/>
      <c r="S91" s="140">
        <f t="shared" si="5"/>
        <v>433</v>
      </c>
      <c r="T91" s="12">
        <f t="shared" si="6"/>
        <v>866</v>
      </c>
      <c r="U91" s="730"/>
      <c r="V91" s="156"/>
      <c r="W91" s="140">
        <f t="shared" si="7"/>
        <v>866</v>
      </c>
    </row>
    <row r="92" spans="1:23" ht="29.25">
      <c r="A92" s="255" t="s">
        <v>7</v>
      </c>
      <c r="B92" s="152" t="s">
        <v>8</v>
      </c>
      <c r="C92" s="574" t="s">
        <v>1793</v>
      </c>
      <c r="D92" s="48" t="s">
        <v>352</v>
      </c>
      <c r="E92" s="51"/>
      <c r="F92" s="152" t="s">
        <v>1792</v>
      </c>
      <c r="G92" s="152" t="s">
        <v>1793</v>
      </c>
      <c r="H92" s="306" t="s">
        <v>2050</v>
      </c>
      <c r="I92" s="75">
        <v>89004932</v>
      </c>
      <c r="J92" s="4" t="s">
        <v>147</v>
      </c>
      <c r="K92" s="665">
        <v>2</v>
      </c>
      <c r="L92" s="12">
        <f>707-316</f>
        <v>391</v>
      </c>
      <c r="M92" s="156"/>
      <c r="N92" s="156"/>
      <c r="O92" s="140">
        <f t="shared" si="4"/>
        <v>391</v>
      </c>
      <c r="P92" s="12">
        <f>707-316</f>
        <v>391</v>
      </c>
      <c r="Q92" s="156"/>
      <c r="R92" s="156"/>
      <c r="S92" s="140">
        <f t="shared" si="5"/>
        <v>391</v>
      </c>
      <c r="T92" s="12">
        <f t="shared" si="6"/>
        <v>782</v>
      </c>
      <c r="U92" s="156"/>
      <c r="V92" s="156"/>
      <c r="W92" s="140">
        <f t="shared" si="7"/>
        <v>782</v>
      </c>
    </row>
    <row r="93" spans="1:23" ht="29.25">
      <c r="A93" s="255" t="s">
        <v>7</v>
      </c>
      <c r="B93" s="152" t="s">
        <v>8</v>
      </c>
      <c r="C93" s="574" t="s">
        <v>2142</v>
      </c>
      <c r="D93" s="48"/>
      <c r="E93" s="51" t="s">
        <v>2203</v>
      </c>
      <c r="F93" s="152" t="s">
        <v>1792</v>
      </c>
      <c r="G93" s="152" t="s">
        <v>1793</v>
      </c>
      <c r="H93" s="306" t="s">
        <v>2143</v>
      </c>
      <c r="I93" s="75">
        <v>95804031</v>
      </c>
      <c r="J93" s="4" t="s">
        <v>147</v>
      </c>
      <c r="K93" s="665">
        <v>1</v>
      </c>
      <c r="L93" s="12">
        <f>39*14</f>
        <v>546</v>
      </c>
      <c r="M93" s="156"/>
      <c r="N93" s="156"/>
      <c r="O93" s="140">
        <f t="shared" si="4"/>
        <v>546</v>
      </c>
      <c r="P93" s="12">
        <f>39*14</f>
        <v>546</v>
      </c>
      <c r="Q93" s="156"/>
      <c r="R93" s="156"/>
      <c r="S93" s="140">
        <f t="shared" si="5"/>
        <v>546</v>
      </c>
      <c r="T93" s="12">
        <f t="shared" si="6"/>
        <v>1092</v>
      </c>
      <c r="U93" s="156"/>
      <c r="V93" s="156"/>
      <c r="W93" s="140">
        <f t="shared" si="7"/>
        <v>1092</v>
      </c>
    </row>
    <row r="94" spans="1:23" ht="29.25">
      <c r="A94" s="255" t="s">
        <v>7</v>
      </c>
      <c r="B94" s="152" t="s">
        <v>8</v>
      </c>
      <c r="C94" s="574" t="s">
        <v>1860</v>
      </c>
      <c r="D94" s="48"/>
      <c r="E94" s="51" t="s">
        <v>2204</v>
      </c>
      <c r="F94" s="152" t="s">
        <v>1792</v>
      </c>
      <c r="G94" s="152" t="s">
        <v>1793</v>
      </c>
      <c r="H94" s="306" t="s">
        <v>2144</v>
      </c>
      <c r="I94" s="75">
        <v>95804029</v>
      </c>
      <c r="J94" s="4" t="s">
        <v>147</v>
      </c>
      <c r="K94" s="562">
        <v>3</v>
      </c>
      <c r="L94" s="12">
        <f>78*14</f>
        <v>1092</v>
      </c>
      <c r="M94" s="156"/>
      <c r="N94" s="156"/>
      <c r="O94" s="140">
        <f t="shared" si="4"/>
        <v>1092</v>
      </c>
      <c r="P94" s="12">
        <f>78*14</f>
        <v>1092</v>
      </c>
      <c r="Q94" s="156"/>
      <c r="R94" s="156"/>
      <c r="S94" s="140">
        <f t="shared" si="5"/>
        <v>1092</v>
      </c>
      <c r="T94" s="12">
        <f t="shared" si="6"/>
        <v>2184</v>
      </c>
      <c r="U94" s="156"/>
      <c r="V94" s="156"/>
      <c r="W94" s="140">
        <f t="shared" si="7"/>
        <v>2184</v>
      </c>
    </row>
    <row r="95" spans="1:23" s="432" customFormat="1" ht="30" customHeight="1">
      <c r="A95" s="255" t="s">
        <v>7</v>
      </c>
      <c r="B95" s="152" t="s">
        <v>2249</v>
      </c>
      <c r="C95" s="149" t="s">
        <v>2205</v>
      </c>
      <c r="D95" s="149"/>
      <c r="E95" s="149"/>
      <c r="F95" s="152" t="s">
        <v>1792</v>
      </c>
      <c r="G95" s="152" t="s">
        <v>1793</v>
      </c>
      <c r="H95" s="306" t="s">
        <v>2250</v>
      </c>
      <c r="I95" s="179">
        <v>1409605</v>
      </c>
      <c r="J95" s="4" t="s">
        <v>147</v>
      </c>
      <c r="K95" s="204">
        <v>3</v>
      </c>
      <c r="L95" s="12">
        <f>12626-10943</f>
        <v>1683</v>
      </c>
      <c r="M95" s="156"/>
      <c r="N95" s="156"/>
      <c r="O95" s="97">
        <f t="shared" si="4"/>
        <v>1683</v>
      </c>
      <c r="P95" s="12">
        <f>12626-10943</f>
        <v>1683</v>
      </c>
      <c r="Q95" s="156"/>
      <c r="R95" s="156"/>
      <c r="S95" s="97">
        <f t="shared" si="5"/>
        <v>1683</v>
      </c>
      <c r="T95" s="12">
        <f t="shared" si="6"/>
        <v>3366</v>
      </c>
      <c r="U95" s="156"/>
      <c r="V95" s="156"/>
      <c r="W95" s="97">
        <f t="shared" si="7"/>
        <v>3366</v>
      </c>
    </row>
    <row r="96" spans="1:23" s="432" customFormat="1" ht="30" customHeight="1">
      <c r="A96" s="255" t="s">
        <v>7</v>
      </c>
      <c r="B96" s="152" t="s">
        <v>2249</v>
      </c>
      <c r="C96" s="149" t="s">
        <v>1863</v>
      </c>
      <c r="D96" s="149"/>
      <c r="E96" s="149">
        <v>18</v>
      </c>
      <c r="F96" s="152" t="s">
        <v>1792</v>
      </c>
      <c r="G96" s="152" t="s">
        <v>1793</v>
      </c>
      <c r="H96" s="306" t="s">
        <v>2251</v>
      </c>
      <c r="I96" s="180">
        <v>1481172</v>
      </c>
      <c r="J96" s="4" t="s">
        <v>147</v>
      </c>
      <c r="K96" s="204">
        <v>2</v>
      </c>
      <c r="L96" s="12">
        <f>11107-8985</f>
        <v>2122</v>
      </c>
      <c r="M96" s="156"/>
      <c r="N96" s="156"/>
      <c r="O96" s="97">
        <f t="shared" si="4"/>
        <v>2122</v>
      </c>
      <c r="P96" s="12">
        <f>11107-8985</f>
        <v>2122</v>
      </c>
      <c r="Q96" s="156"/>
      <c r="R96" s="156"/>
      <c r="S96" s="97">
        <f t="shared" si="5"/>
        <v>2122</v>
      </c>
      <c r="T96" s="12">
        <f t="shared" si="6"/>
        <v>4244</v>
      </c>
      <c r="U96" s="156"/>
      <c r="V96" s="156"/>
      <c r="W96" s="97">
        <f t="shared" si="7"/>
        <v>4244</v>
      </c>
    </row>
    <row r="97" spans="1:23" s="432" customFormat="1" ht="30" customHeight="1" thickBot="1">
      <c r="A97" s="255" t="s">
        <v>7</v>
      </c>
      <c r="B97" s="152" t="s">
        <v>2249</v>
      </c>
      <c r="C97" s="149" t="s">
        <v>1869</v>
      </c>
      <c r="D97" s="149"/>
      <c r="E97" s="149"/>
      <c r="F97" s="152" t="s">
        <v>1792</v>
      </c>
      <c r="G97" s="152" t="s">
        <v>1793</v>
      </c>
      <c r="H97" s="306" t="s">
        <v>2252</v>
      </c>
      <c r="I97" s="179">
        <v>25364724</v>
      </c>
      <c r="J97" s="4" t="s">
        <v>147</v>
      </c>
      <c r="K97" s="204">
        <v>1.4</v>
      </c>
      <c r="L97" s="12">
        <f>23381-19970</f>
        <v>3411</v>
      </c>
      <c r="M97" s="156"/>
      <c r="N97" s="156"/>
      <c r="O97" s="97">
        <f>L97</f>
        <v>3411</v>
      </c>
      <c r="P97" s="12">
        <f>23381-19970</f>
        <v>3411</v>
      </c>
      <c r="Q97" s="156"/>
      <c r="R97" s="156"/>
      <c r="S97" s="97">
        <f>P97</f>
        <v>3411</v>
      </c>
      <c r="T97" s="12">
        <f t="shared" si="6"/>
        <v>6822</v>
      </c>
      <c r="U97" s="156"/>
      <c r="V97" s="156"/>
      <c r="W97" s="97">
        <f>T97</f>
        <v>6822</v>
      </c>
    </row>
    <row r="98" spans="2:23" ht="30">
      <c r="B98" s="478" t="s">
        <v>150</v>
      </c>
      <c r="C98" s="479" t="s">
        <v>1794</v>
      </c>
      <c r="D98" s="480"/>
      <c r="E98" s="474"/>
      <c r="F98" s="244"/>
      <c r="G98" s="521" t="s">
        <v>2030</v>
      </c>
      <c r="H98" s="468" t="s">
        <v>1794</v>
      </c>
      <c r="M98" s="18"/>
      <c r="N98" s="49" t="s">
        <v>151</v>
      </c>
      <c r="O98" s="259">
        <f>SUM(O18:O97)</f>
        <v>185297</v>
      </c>
      <c r="Q98" s="18"/>
      <c r="R98" s="49" t="s">
        <v>151</v>
      </c>
      <c r="S98" s="259">
        <f>SUM(S18:S97)</f>
        <v>185297</v>
      </c>
      <c r="U98" s="18"/>
      <c r="V98" s="49" t="s">
        <v>151</v>
      </c>
      <c r="W98" s="259">
        <f>SUM(W18:W97)</f>
        <v>370594</v>
      </c>
    </row>
    <row r="99" spans="2:15" ht="15">
      <c r="B99" s="247"/>
      <c r="C99" s="248" t="s">
        <v>1795</v>
      </c>
      <c r="D99" s="466"/>
      <c r="E99" s="474"/>
      <c r="F99" s="244"/>
      <c r="G99" s="475"/>
      <c r="H99" s="469" t="s">
        <v>1795</v>
      </c>
      <c r="M99" s="18"/>
      <c r="N99" s="18"/>
      <c r="O99" s="18"/>
    </row>
    <row r="100" spans="2:15" ht="15.75" thickBot="1">
      <c r="B100" s="247"/>
      <c r="C100" s="248" t="s">
        <v>1922</v>
      </c>
      <c r="D100" s="466"/>
      <c r="E100" s="474"/>
      <c r="F100" s="244"/>
      <c r="G100" s="476"/>
      <c r="H100" s="471" t="s">
        <v>1922</v>
      </c>
      <c r="M100" s="18"/>
      <c r="N100" s="18"/>
      <c r="O100" s="18"/>
    </row>
    <row r="101" spans="2:15" ht="15">
      <c r="B101" s="464" t="s">
        <v>1640</v>
      </c>
      <c r="C101" s="248">
        <v>8212394019</v>
      </c>
      <c r="D101" s="466"/>
      <c r="E101" s="474"/>
      <c r="F101" s="244"/>
      <c r="G101" s="236"/>
      <c r="H101" s="248"/>
      <c r="M101" s="18"/>
      <c r="N101" s="18"/>
      <c r="O101" s="18"/>
    </row>
    <row r="102" spans="2:15" ht="15.75" thickBot="1">
      <c r="B102" s="472" t="s">
        <v>1644</v>
      </c>
      <c r="C102" s="400" t="s">
        <v>1796</v>
      </c>
      <c r="D102" s="473"/>
      <c r="E102" s="474"/>
      <c r="F102" s="474"/>
      <c r="G102" s="474"/>
      <c r="H102" s="474"/>
      <c r="M102" s="18"/>
      <c r="N102" s="18"/>
      <c r="O102" s="18"/>
    </row>
    <row r="103" spans="2:15" ht="15">
      <c r="B103" s="624"/>
      <c r="C103" s="248"/>
      <c r="D103" s="431"/>
      <c r="E103" s="474"/>
      <c r="F103" s="474"/>
      <c r="G103" s="474"/>
      <c r="H103" s="474"/>
      <c r="M103" s="18"/>
      <c r="N103" s="18"/>
      <c r="O103" s="18"/>
    </row>
    <row r="104" spans="2:15" ht="15">
      <c r="B104" s="624"/>
      <c r="C104" s="248"/>
      <c r="D104" s="431"/>
      <c r="E104" s="474"/>
      <c r="F104" s="474"/>
      <c r="G104" s="474"/>
      <c r="H104" s="474"/>
      <c r="M104" s="18"/>
      <c r="N104" s="18"/>
      <c r="O104" s="18"/>
    </row>
    <row r="105" spans="2:15" ht="14.25">
      <c r="B105" s="257"/>
      <c r="C105" s="232"/>
      <c r="D105" s="258"/>
      <c r="L105" t="s">
        <v>155</v>
      </c>
      <c r="M105" s="18">
        <f>W98</f>
        <v>370594</v>
      </c>
      <c r="N105" s="18"/>
      <c r="O105" s="18"/>
    </row>
    <row r="106" spans="13:15" ht="15" thickBot="1">
      <c r="M106" s="18"/>
      <c r="N106" s="18"/>
      <c r="O106" s="18"/>
    </row>
    <row r="107" spans="11:15" ht="72" customHeight="1">
      <c r="K107" s="788" t="s">
        <v>152</v>
      </c>
      <c r="L107" s="774" t="s">
        <v>2257</v>
      </c>
      <c r="M107" s="775"/>
      <c r="N107" s="776"/>
      <c r="O107" s="741" t="s">
        <v>153</v>
      </c>
    </row>
    <row r="108" spans="11:15" ht="23.25" customHeight="1">
      <c r="K108" s="789"/>
      <c r="L108" s="701" t="s">
        <v>154</v>
      </c>
      <c r="M108" s="701" t="s">
        <v>1017</v>
      </c>
      <c r="N108" s="701" t="s">
        <v>1018</v>
      </c>
      <c r="O108" s="794"/>
    </row>
    <row r="109" spans="11:15" ht="23.25" customHeight="1">
      <c r="K109" s="551" t="s">
        <v>149</v>
      </c>
      <c r="L109" s="598">
        <f>SUM(W19:W88)</f>
        <v>342446</v>
      </c>
      <c r="M109" s="41"/>
      <c r="N109" s="41"/>
      <c r="O109" s="599">
        <v>69</v>
      </c>
    </row>
    <row r="110" spans="11:15" ht="23.25" customHeight="1">
      <c r="K110" s="551" t="s">
        <v>147</v>
      </c>
      <c r="L110" s="598">
        <f>SUM(W89:W97)</f>
        <v>26304</v>
      </c>
      <c r="M110" s="41"/>
      <c r="N110" s="41"/>
      <c r="O110" s="599">
        <v>9</v>
      </c>
    </row>
    <row r="111" spans="11:15" ht="23.25" customHeight="1" thickBot="1">
      <c r="K111" s="586" t="s">
        <v>12</v>
      </c>
      <c r="L111" s="323"/>
      <c r="M111" s="732">
        <f>SUM(U18)</f>
        <v>538</v>
      </c>
      <c r="N111" s="732">
        <f>SUM(V18)</f>
        <v>1306</v>
      </c>
      <c r="O111" s="602">
        <v>1</v>
      </c>
    </row>
    <row r="112" spans="11:15" ht="27" customHeight="1" thickBot="1">
      <c r="K112" s="14" t="s">
        <v>155</v>
      </c>
      <c r="L112" s="15">
        <f>SUM(L109:L111)</f>
        <v>368750</v>
      </c>
      <c r="M112" s="16">
        <f>SUM(M109:M111)</f>
        <v>538</v>
      </c>
      <c r="N112" s="16">
        <f>SUM(N109:N111)</f>
        <v>1306</v>
      </c>
      <c r="O112" s="595">
        <f>SUM(O109:O111)</f>
        <v>79</v>
      </c>
    </row>
    <row r="113" spans="12:15" ht="27" customHeight="1" thickBot="1">
      <c r="L113" s="18" t="s">
        <v>156</v>
      </c>
      <c r="M113" s="273">
        <f>SUM(L112:N112)</f>
        <v>370594</v>
      </c>
      <c r="N113" s="2"/>
      <c r="O113" s="2"/>
    </row>
  </sheetData>
  <sheetProtection/>
  <mergeCells count="25">
    <mergeCell ref="O107:O108"/>
    <mergeCell ref="H15:H17"/>
    <mergeCell ref="I15:I17"/>
    <mergeCell ref="J15:J17"/>
    <mergeCell ref="P15:S15"/>
    <mergeCell ref="T15:W15"/>
    <mergeCell ref="P16:S16"/>
    <mergeCell ref="T16:W16"/>
    <mergeCell ref="K107:K108"/>
    <mergeCell ref="L107:N107"/>
    <mergeCell ref="A15:A17"/>
    <mergeCell ref="B15:B17"/>
    <mergeCell ref="C15:C17"/>
    <mergeCell ref="D15:D17"/>
    <mergeCell ref="E15:E17"/>
    <mergeCell ref="L15:O15"/>
    <mergeCell ref="K15:K17"/>
    <mergeCell ref="B1:L1"/>
    <mergeCell ref="F15:F17"/>
    <mergeCell ref="B3:J3"/>
    <mergeCell ref="G15:G17"/>
    <mergeCell ref="G12:H12"/>
    <mergeCell ref="L16:O16"/>
    <mergeCell ref="I12:K12"/>
    <mergeCell ref="B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8"/>
  <sheetViews>
    <sheetView zoomScale="60" zoomScaleNormal="60" zoomScalePageLayoutView="0" workbookViewId="0" topLeftCell="F114">
      <selection activeCell="O138" sqref="O138"/>
    </sheetView>
  </sheetViews>
  <sheetFormatPr defaultColWidth="8.796875" defaultRowHeight="14.25"/>
  <cols>
    <col min="1" max="1" width="12.19921875" style="1" customWidth="1"/>
    <col min="2" max="2" width="16.19921875" style="0" customWidth="1"/>
    <col min="3" max="3" width="14.19921875" style="0" customWidth="1"/>
    <col min="4" max="4" width="15.59765625" style="0" customWidth="1"/>
    <col min="5" max="5" width="9.8984375" style="0" customWidth="1"/>
    <col min="6" max="6" width="11.5" style="0" customWidth="1"/>
    <col min="7" max="7" width="18" style="0" customWidth="1"/>
    <col min="8" max="8" width="26.3984375" style="0" customWidth="1"/>
    <col min="9" max="9" width="26.09765625" style="0" customWidth="1"/>
    <col min="10" max="10" width="14.69921875" style="0" customWidth="1"/>
    <col min="11" max="11" width="11.3984375" style="0" customWidth="1"/>
    <col min="12" max="12" width="13.8984375" style="0" customWidth="1"/>
    <col min="13" max="13" width="14.59765625" style="0" customWidth="1"/>
    <col min="14" max="14" width="15.3984375" style="0" customWidth="1"/>
    <col min="15" max="15" width="15.69921875" style="0" customWidth="1"/>
    <col min="16" max="16" width="18.09765625" style="0" customWidth="1"/>
    <col min="17" max="17" width="17.3984375" style="0" customWidth="1"/>
    <col min="18" max="18" width="16.3984375" style="0" customWidth="1"/>
    <col min="19" max="19" width="15.69921875" style="0" customWidth="1"/>
    <col min="20" max="20" width="24.69921875" style="0" customWidth="1"/>
    <col min="21" max="21" width="22.69921875" style="0" customWidth="1"/>
    <col min="22" max="22" width="21.59765625" style="0" customWidth="1"/>
    <col min="23" max="23" width="14.8984375" style="0" customWidth="1"/>
  </cols>
  <sheetData>
    <row r="1" spans="1:15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1"/>
      <c r="O1" s="2"/>
    </row>
    <row r="2" spans="1:15" ht="15">
      <c r="A2"/>
      <c r="B2" s="182"/>
      <c r="C2" s="182"/>
      <c r="D2" s="182"/>
      <c r="E2" s="182"/>
      <c r="F2" s="182"/>
      <c r="G2" s="182"/>
      <c r="H2" s="183"/>
      <c r="I2" s="184"/>
      <c r="J2" s="182"/>
      <c r="K2" s="182"/>
      <c r="M2" s="1"/>
      <c r="O2" s="2"/>
    </row>
    <row r="3" spans="1:15" ht="27.75" customHeight="1">
      <c r="A3"/>
      <c r="B3" s="752" t="s">
        <v>1035</v>
      </c>
      <c r="C3" s="753"/>
      <c r="D3" s="753"/>
      <c r="E3" s="753"/>
      <c r="F3" s="753"/>
      <c r="G3" s="753"/>
      <c r="H3" s="753"/>
      <c r="I3" s="753"/>
      <c r="J3" s="754"/>
      <c r="K3" s="182"/>
      <c r="M3" s="1"/>
      <c r="O3" s="2"/>
    </row>
    <row r="4" spans="1:15" ht="20.25">
      <c r="A4"/>
      <c r="B4" s="183"/>
      <c r="C4" s="183"/>
      <c r="D4" s="183"/>
      <c r="E4" s="183"/>
      <c r="F4" s="183"/>
      <c r="G4" s="183"/>
      <c r="H4" s="183"/>
      <c r="I4" s="184"/>
      <c r="J4" s="182"/>
      <c r="K4" s="191"/>
      <c r="L4" s="3"/>
      <c r="M4" s="1"/>
      <c r="O4" s="2"/>
    </row>
    <row r="5" spans="1:15" ht="20.25">
      <c r="A5"/>
      <c r="B5" s="755" t="s">
        <v>1037</v>
      </c>
      <c r="C5" s="755"/>
      <c r="D5" s="755"/>
      <c r="E5" s="755"/>
      <c r="F5" s="755"/>
      <c r="G5" s="755"/>
      <c r="H5" s="755"/>
      <c r="I5" s="755"/>
      <c r="J5" s="755"/>
      <c r="K5" s="191"/>
      <c r="L5" s="3"/>
      <c r="M5" s="1"/>
      <c r="O5" s="2"/>
    </row>
    <row r="6" spans="1:15" ht="20.25">
      <c r="A6"/>
      <c r="B6" s="183"/>
      <c r="C6" s="183"/>
      <c r="D6" s="183"/>
      <c r="E6" s="183"/>
      <c r="F6" s="183"/>
      <c r="G6" s="183"/>
      <c r="H6" s="755" t="s">
        <v>1036</v>
      </c>
      <c r="I6" s="755"/>
      <c r="J6" s="755"/>
      <c r="K6" s="191"/>
      <c r="L6" s="3"/>
      <c r="M6" s="1"/>
      <c r="O6" s="2"/>
    </row>
    <row r="7" spans="1:15" ht="20.25">
      <c r="A7"/>
      <c r="B7" s="183"/>
      <c r="C7" s="183"/>
      <c r="D7" s="183"/>
      <c r="E7" s="183"/>
      <c r="F7" s="183"/>
      <c r="G7" s="183"/>
      <c r="H7" s="755" t="s">
        <v>1038</v>
      </c>
      <c r="I7" s="755"/>
      <c r="J7" s="755"/>
      <c r="K7" s="191"/>
      <c r="L7" s="3"/>
      <c r="M7" s="1"/>
      <c r="O7" s="2"/>
    </row>
    <row r="8" spans="1:15" ht="20.25">
      <c r="A8"/>
      <c r="B8" s="383" t="s">
        <v>950</v>
      </c>
      <c r="C8" s="182"/>
      <c r="D8" s="183"/>
      <c r="E8" s="183"/>
      <c r="F8" s="183"/>
      <c r="G8" s="182"/>
      <c r="H8" s="183"/>
      <c r="I8" s="184"/>
      <c r="J8" s="182"/>
      <c r="K8" s="191"/>
      <c r="L8" s="3"/>
      <c r="M8" s="1"/>
      <c r="O8" s="2"/>
    </row>
    <row r="9" spans="1:15" ht="15.75">
      <c r="A9"/>
      <c r="B9" s="383" t="s">
        <v>2031</v>
      </c>
      <c r="C9" s="182"/>
      <c r="D9" s="183"/>
      <c r="E9" s="183"/>
      <c r="F9" s="183"/>
      <c r="G9" s="182"/>
      <c r="H9" s="183"/>
      <c r="I9" s="184"/>
      <c r="J9" s="182"/>
      <c r="K9" s="182"/>
      <c r="M9" s="1"/>
      <c r="O9" s="2"/>
    </row>
    <row r="10" spans="1:15" ht="15.75">
      <c r="A10"/>
      <c r="B10" s="186" t="s">
        <v>2253</v>
      </c>
      <c r="C10" s="182"/>
      <c r="D10" s="187"/>
      <c r="E10" s="183"/>
      <c r="F10" s="183"/>
      <c r="G10" s="182"/>
      <c r="H10" s="183"/>
      <c r="I10" s="184"/>
      <c r="J10" s="182"/>
      <c r="K10" s="182"/>
      <c r="M10" s="355"/>
      <c r="O10" s="2"/>
    </row>
    <row r="11" spans="1:15" ht="15.75">
      <c r="A11"/>
      <c r="B11" s="186" t="s">
        <v>1634</v>
      </c>
      <c r="C11" s="182"/>
      <c r="D11" s="187"/>
      <c r="E11" s="183"/>
      <c r="F11" s="183"/>
      <c r="G11" s="182"/>
      <c r="H11" s="183"/>
      <c r="I11" s="184"/>
      <c r="J11" s="182"/>
      <c r="K11" s="182"/>
      <c r="M11" s="1"/>
      <c r="O11" s="2"/>
    </row>
    <row r="12" spans="1:15" ht="15">
      <c r="A12"/>
      <c r="B12" s="182" t="s">
        <v>1024</v>
      </c>
      <c r="C12" s="182"/>
      <c r="D12" s="182"/>
      <c r="E12" s="182"/>
      <c r="F12" s="182"/>
      <c r="G12" s="182"/>
      <c r="H12" s="183"/>
      <c r="I12" s="184"/>
      <c r="J12" s="182"/>
      <c r="K12" s="182"/>
      <c r="M12" s="1"/>
      <c r="O12" s="2"/>
    </row>
    <row r="13" spans="1:15" ht="15.75">
      <c r="A13"/>
      <c r="B13" s="188" t="s">
        <v>1013</v>
      </c>
      <c r="C13" s="189" t="s">
        <v>1014</v>
      </c>
      <c r="D13" s="187"/>
      <c r="E13" s="187"/>
      <c r="F13" s="187"/>
      <c r="G13" s="187"/>
      <c r="H13" s="190"/>
      <c r="I13" s="182"/>
      <c r="J13" s="182"/>
      <c r="K13" s="182"/>
      <c r="M13" s="1"/>
      <c r="O13" s="2"/>
    </row>
    <row r="14" spans="1:15" ht="15.75">
      <c r="A14"/>
      <c r="B14" s="188" t="s">
        <v>1015</v>
      </c>
      <c r="C14" s="185" t="s">
        <v>1016</v>
      </c>
      <c r="D14" s="187"/>
      <c r="E14" s="187"/>
      <c r="F14" s="187"/>
      <c r="G14" s="187"/>
      <c r="H14" s="190"/>
      <c r="I14" s="182"/>
      <c r="J14" s="182"/>
      <c r="K14" s="182"/>
      <c r="M14" s="1"/>
      <c r="O14" s="2"/>
    </row>
    <row r="15" spans="1:15" ht="20.25">
      <c r="A15"/>
      <c r="B15" s="114"/>
      <c r="C15" s="105"/>
      <c r="D15" s="29"/>
      <c r="E15" s="29"/>
      <c r="F15" s="29"/>
      <c r="G15" s="29"/>
      <c r="H15" s="644"/>
      <c r="I15" s="106"/>
      <c r="J15" s="106"/>
      <c r="M15" s="1"/>
      <c r="O15" s="2"/>
    </row>
    <row r="16" spans="1:15" ht="15">
      <c r="A16" s="82"/>
      <c r="B16" s="29"/>
      <c r="C16" s="29"/>
      <c r="D16" s="778" t="s">
        <v>1039</v>
      </c>
      <c r="E16" s="778"/>
      <c r="F16" s="29"/>
      <c r="G16" s="29"/>
      <c r="H16" s="644"/>
      <c r="I16" s="29"/>
      <c r="J16" s="29"/>
      <c r="M16" s="1"/>
      <c r="O16" s="2"/>
    </row>
    <row r="17" spans="1:15" ht="15" customHeight="1" thickBot="1">
      <c r="A17" s="82"/>
      <c r="B17" s="29"/>
      <c r="C17" s="29"/>
      <c r="D17" s="778"/>
      <c r="E17" s="778"/>
      <c r="F17" s="29"/>
      <c r="G17" s="542"/>
      <c r="H17" s="542"/>
      <c r="I17" s="542"/>
      <c r="J17" s="29"/>
      <c r="M17" s="1"/>
      <c r="O17" s="2"/>
    </row>
    <row r="18" spans="1:23" ht="46.5" customHeight="1">
      <c r="A18" s="759" t="s">
        <v>0</v>
      </c>
      <c r="B18" s="762" t="s">
        <v>976</v>
      </c>
      <c r="C18" s="765" t="s">
        <v>1</v>
      </c>
      <c r="D18" s="765" t="s">
        <v>2</v>
      </c>
      <c r="E18" s="756" t="s">
        <v>1020</v>
      </c>
      <c r="F18" s="756" t="s">
        <v>3</v>
      </c>
      <c r="G18" s="765" t="s">
        <v>4</v>
      </c>
      <c r="H18" s="756" t="s">
        <v>5</v>
      </c>
      <c r="I18" s="756" t="s">
        <v>738</v>
      </c>
      <c r="J18" s="756" t="s">
        <v>152</v>
      </c>
      <c r="K18" s="779" t="s">
        <v>975</v>
      </c>
      <c r="L18" s="746" t="s">
        <v>2254</v>
      </c>
      <c r="M18" s="747"/>
      <c r="N18" s="747"/>
      <c r="O18" s="748"/>
      <c r="P18" s="746" t="s">
        <v>2255</v>
      </c>
      <c r="Q18" s="747"/>
      <c r="R18" s="747"/>
      <c r="S18" s="748"/>
      <c r="T18" s="746" t="s">
        <v>2256</v>
      </c>
      <c r="U18" s="747"/>
      <c r="V18" s="747"/>
      <c r="W18" s="748"/>
    </row>
    <row r="19" spans="1:23" ht="39" customHeight="1">
      <c r="A19" s="760"/>
      <c r="B19" s="763"/>
      <c r="C19" s="766"/>
      <c r="D19" s="766"/>
      <c r="E19" s="757"/>
      <c r="F19" s="757"/>
      <c r="G19" s="766"/>
      <c r="H19" s="757"/>
      <c r="I19" s="770"/>
      <c r="J19" s="757"/>
      <c r="K19" s="780"/>
      <c r="L19" s="749" t="s">
        <v>1021</v>
      </c>
      <c r="M19" s="750"/>
      <c r="N19" s="750"/>
      <c r="O19" s="751"/>
      <c r="P19" s="749" t="s">
        <v>1021</v>
      </c>
      <c r="Q19" s="750"/>
      <c r="R19" s="750"/>
      <c r="S19" s="751"/>
      <c r="T19" s="749" t="s">
        <v>1021</v>
      </c>
      <c r="U19" s="750"/>
      <c r="V19" s="750"/>
      <c r="W19" s="751"/>
    </row>
    <row r="20" spans="1:23" ht="33" customHeight="1" thickBot="1">
      <c r="A20" s="761"/>
      <c r="B20" s="764"/>
      <c r="C20" s="767"/>
      <c r="D20" s="767"/>
      <c r="E20" s="758"/>
      <c r="F20" s="758"/>
      <c r="G20" s="767"/>
      <c r="H20" s="758"/>
      <c r="I20" s="771"/>
      <c r="J20" s="758"/>
      <c r="K20" s="781"/>
      <c r="L20" s="121" t="s">
        <v>1022</v>
      </c>
      <c r="M20" s="733" t="s">
        <v>1017</v>
      </c>
      <c r="N20" s="733" t="s">
        <v>1018</v>
      </c>
      <c r="O20" s="122" t="s">
        <v>6</v>
      </c>
      <c r="P20" s="121" t="s">
        <v>1022</v>
      </c>
      <c r="Q20" s="733" t="s">
        <v>1017</v>
      </c>
      <c r="R20" s="733" t="s">
        <v>1018</v>
      </c>
      <c r="S20" s="122" t="s">
        <v>6</v>
      </c>
      <c r="T20" s="121" t="s">
        <v>1022</v>
      </c>
      <c r="U20" s="733" t="s">
        <v>1017</v>
      </c>
      <c r="V20" s="733" t="s">
        <v>1018</v>
      </c>
      <c r="W20" s="122" t="s">
        <v>6</v>
      </c>
    </row>
    <row r="21" spans="1:23" ht="30.75">
      <c r="A21" s="234" t="s">
        <v>7</v>
      </c>
      <c r="B21" s="5" t="s">
        <v>8</v>
      </c>
      <c r="C21" s="6" t="s">
        <v>10</v>
      </c>
      <c r="D21" s="6"/>
      <c r="E21" s="6">
        <v>21</v>
      </c>
      <c r="F21" s="6" t="s">
        <v>9</v>
      </c>
      <c r="G21" s="6" t="s">
        <v>10</v>
      </c>
      <c r="H21" s="327" t="s">
        <v>11</v>
      </c>
      <c r="I21" s="202">
        <v>83904479</v>
      </c>
      <c r="J21" s="7" t="s">
        <v>12</v>
      </c>
      <c r="K21" s="8">
        <v>1.3</v>
      </c>
      <c r="L21" s="9"/>
      <c r="M21" s="10">
        <f>2646-1469</f>
        <v>1177</v>
      </c>
      <c r="N21" s="10">
        <f>10961-5970</f>
        <v>4991</v>
      </c>
      <c r="O21" s="10">
        <f>SUM(M21:N21)</f>
        <v>6168</v>
      </c>
      <c r="P21" s="9"/>
      <c r="Q21" s="10">
        <f>2646-1469</f>
        <v>1177</v>
      </c>
      <c r="R21" s="10">
        <f>10961-5970</f>
        <v>4991</v>
      </c>
      <c r="S21" s="10">
        <f>SUM(Q21:R21)</f>
        <v>6168</v>
      </c>
      <c r="T21" s="9"/>
      <c r="U21" s="10">
        <f>M21+Q21</f>
        <v>2354</v>
      </c>
      <c r="V21" s="10">
        <f>N21+R21</f>
        <v>9982</v>
      </c>
      <c r="W21" s="10">
        <f>SUM(U21:V21)</f>
        <v>12336</v>
      </c>
    </row>
    <row r="22" spans="1:23" ht="30.75">
      <c r="A22" s="234" t="s">
        <v>7</v>
      </c>
      <c r="B22" s="5" t="s">
        <v>8</v>
      </c>
      <c r="C22" s="6" t="s">
        <v>10</v>
      </c>
      <c r="D22" s="6"/>
      <c r="E22" s="6">
        <v>46</v>
      </c>
      <c r="F22" s="6" t="s">
        <v>9</v>
      </c>
      <c r="G22" s="6" t="s">
        <v>10</v>
      </c>
      <c r="H22" s="327" t="s">
        <v>13</v>
      </c>
      <c r="I22" s="202">
        <v>83904369</v>
      </c>
      <c r="J22" s="7" t="s">
        <v>12</v>
      </c>
      <c r="K22" s="8">
        <v>2.2</v>
      </c>
      <c r="L22" s="9"/>
      <c r="M22" s="10">
        <f>3425-1862</f>
        <v>1563</v>
      </c>
      <c r="N22" s="10">
        <f>13680-7301</f>
        <v>6379</v>
      </c>
      <c r="O22" s="10">
        <f aca="true" t="shared" si="0" ref="O22:O85">SUM(M22:N22)</f>
        <v>7942</v>
      </c>
      <c r="P22" s="9"/>
      <c r="Q22" s="10">
        <f>3425-1862</f>
        <v>1563</v>
      </c>
      <c r="R22" s="10">
        <f>13680-7301</f>
        <v>6379</v>
      </c>
      <c r="S22" s="10">
        <f aca="true" t="shared" si="1" ref="S22:S85">SUM(Q22:R22)</f>
        <v>7942</v>
      </c>
      <c r="T22" s="9"/>
      <c r="U22" s="10">
        <f aca="true" t="shared" si="2" ref="U22:V85">M22+Q22</f>
        <v>3126</v>
      </c>
      <c r="V22" s="10">
        <f t="shared" si="2"/>
        <v>12758</v>
      </c>
      <c r="W22" s="10">
        <f aca="true" t="shared" si="3" ref="W22:W85">SUM(U22:V22)</f>
        <v>15884</v>
      </c>
    </row>
    <row r="23" spans="1:23" ht="30.75">
      <c r="A23" s="234" t="s">
        <v>7</v>
      </c>
      <c r="B23" s="5" t="s">
        <v>8</v>
      </c>
      <c r="C23" s="6" t="s">
        <v>14</v>
      </c>
      <c r="D23" s="6"/>
      <c r="E23" s="6">
        <v>1</v>
      </c>
      <c r="F23" s="6" t="s">
        <v>15</v>
      </c>
      <c r="G23" s="6" t="s">
        <v>16</v>
      </c>
      <c r="H23" s="327" t="s">
        <v>17</v>
      </c>
      <c r="I23" s="202">
        <v>94806559</v>
      </c>
      <c r="J23" s="7" t="s">
        <v>12</v>
      </c>
      <c r="K23" s="663">
        <v>6.6</v>
      </c>
      <c r="L23" s="9"/>
      <c r="M23" s="10">
        <f>4774-1703</f>
        <v>3071</v>
      </c>
      <c r="N23" s="10">
        <f>18453-4830</f>
        <v>13623</v>
      </c>
      <c r="O23" s="10">
        <f t="shared" si="0"/>
        <v>16694</v>
      </c>
      <c r="P23" s="9"/>
      <c r="Q23" s="10">
        <f>4774-1703</f>
        <v>3071</v>
      </c>
      <c r="R23" s="10">
        <f>18453-4830</f>
        <v>13623</v>
      </c>
      <c r="S23" s="10">
        <f t="shared" si="1"/>
        <v>16694</v>
      </c>
      <c r="T23" s="9"/>
      <c r="U23" s="10">
        <f t="shared" si="2"/>
        <v>6142</v>
      </c>
      <c r="V23" s="10">
        <f t="shared" si="2"/>
        <v>27246</v>
      </c>
      <c r="W23" s="10">
        <f t="shared" si="3"/>
        <v>33388</v>
      </c>
    </row>
    <row r="24" spans="1:23" ht="30.75">
      <c r="A24" s="234" t="s">
        <v>7</v>
      </c>
      <c r="B24" s="5" t="s">
        <v>8</v>
      </c>
      <c r="C24" s="6" t="s">
        <v>14</v>
      </c>
      <c r="D24" s="6"/>
      <c r="E24" s="6"/>
      <c r="F24" s="6" t="s">
        <v>15</v>
      </c>
      <c r="G24" s="6" t="s">
        <v>16</v>
      </c>
      <c r="H24" s="327" t="s">
        <v>18</v>
      </c>
      <c r="I24" s="202">
        <v>83908536</v>
      </c>
      <c r="J24" s="7" t="s">
        <v>12</v>
      </c>
      <c r="K24" s="663">
        <v>3</v>
      </c>
      <c r="L24" s="9"/>
      <c r="M24" s="10">
        <f>3466-1791</f>
        <v>1675</v>
      </c>
      <c r="N24" s="10">
        <f>15543-8078</f>
        <v>7465</v>
      </c>
      <c r="O24" s="10">
        <f t="shared" si="0"/>
        <v>9140</v>
      </c>
      <c r="P24" s="9"/>
      <c r="Q24" s="10">
        <f>3466-1791</f>
        <v>1675</v>
      </c>
      <c r="R24" s="10">
        <f>15543-8078</f>
        <v>7465</v>
      </c>
      <c r="S24" s="10">
        <f t="shared" si="1"/>
        <v>9140</v>
      </c>
      <c r="T24" s="9"/>
      <c r="U24" s="10">
        <f t="shared" si="2"/>
        <v>3350</v>
      </c>
      <c r="V24" s="10">
        <f t="shared" si="2"/>
        <v>14930</v>
      </c>
      <c r="W24" s="10">
        <f t="shared" si="3"/>
        <v>18280</v>
      </c>
    </row>
    <row r="25" spans="1:23" ht="30.75">
      <c r="A25" s="234" t="s">
        <v>7</v>
      </c>
      <c r="B25" s="5" t="s">
        <v>8</v>
      </c>
      <c r="C25" s="6" t="s">
        <v>19</v>
      </c>
      <c r="D25" s="6"/>
      <c r="E25" s="6">
        <v>15</v>
      </c>
      <c r="F25" s="6" t="s">
        <v>9</v>
      </c>
      <c r="G25" s="6" t="s">
        <v>10</v>
      </c>
      <c r="H25" s="327" t="s">
        <v>20</v>
      </c>
      <c r="I25" s="202">
        <v>83904499</v>
      </c>
      <c r="J25" s="7" t="s">
        <v>12</v>
      </c>
      <c r="K25" s="663">
        <v>2.2</v>
      </c>
      <c r="L25" s="9"/>
      <c r="M25" s="10">
        <f>2470-1294</f>
        <v>1176</v>
      </c>
      <c r="N25" s="10">
        <f>10496-5556</f>
        <v>4940</v>
      </c>
      <c r="O25" s="10">
        <f t="shared" si="0"/>
        <v>6116</v>
      </c>
      <c r="P25" s="9"/>
      <c r="Q25" s="10">
        <f>2470-1294</f>
        <v>1176</v>
      </c>
      <c r="R25" s="10">
        <f>10496-5556</f>
        <v>4940</v>
      </c>
      <c r="S25" s="10">
        <f t="shared" si="1"/>
        <v>6116</v>
      </c>
      <c r="T25" s="9"/>
      <c r="U25" s="10">
        <f t="shared" si="2"/>
        <v>2352</v>
      </c>
      <c r="V25" s="10">
        <f t="shared" si="2"/>
        <v>9880</v>
      </c>
      <c r="W25" s="10">
        <f t="shared" si="3"/>
        <v>12232</v>
      </c>
    </row>
    <row r="26" spans="1:23" ht="30.75">
      <c r="A26" s="234" t="s">
        <v>7</v>
      </c>
      <c r="B26" s="5" t="s">
        <v>8</v>
      </c>
      <c r="C26" s="6" t="s">
        <v>10</v>
      </c>
      <c r="D26" s="6"/>
      <c r="E26" s="6" t="s">
        <v>141</v>
      </c>
      <c r="F26" s="6" t="s">
        <v>9</v>
      </c>
      <c r="G26" s="6" t="s">
        <v>10</v>
      </c>
      <c r="H26" s="327" t="s">
        <v>21</v>
      </c>
      <c r="I26" s="202">
        <v>83905040</v>
      </c>
      <c r="J26" s="7" t="s">
        <v>12</v>
      </c>
      <c r="K26" s="663">
        <v>0.3</v>
      </c>
      <c r="L26" s="9"/>
      <c r="M26" s="10">
        <f>606-293</f>
        <v>313</v>
      </c>
      <c r="N26" s="10">
        <f>2720-1295</f>
        <v>1425</v>
      </c>
      <c r="O26" s="10">
        <f t="shared" si="0"/>
        <v>1738</v>
      </c>
      <c r="P26" s="9"/>
      <c r="Q26" s="10">
        <f>606-293</f>
        <v>313</v>
      </c>
      <c r="R26" s="10">
        <f>2720-1295</f>
        <v>1425</v>
      </c>
      <c r="S26" s="10">
        <f t="shared" si="1"/>
        <v>1738</v>
      </c>
      <c r="T26" s="9"/>
      <c r="U26" s="10">
        <f t="shared" si="2"/>
        <v>626</v>
      </c>
      <c r="V26" s="10">
        <f t="shared" si="2"/>
        <v>2850</v>
      </c>
      <c r="W26" s="10">
        <f t="shared" si="3"/>
        <v>3476</v>
      </c>
    </row>
    <row r="27" spans="1:23" ht="30.75">
      <c r="A27" s="234" t="s">
        <v>7</v>
      </c>
      <c r="B27" s="5" t="s">
        <v>8</v>
      </c>
      <c r="C27" s="6" t="s">
        <v>1507</v>
      </c>
      <c r="D27" s="6"/>
      <c r="E27" s="6" t="s">
        <v>671</v>
      </c>
      <c r="F27" s="6" t="s">
        <v>9</v>
      </c>
      <c r="G27" s="6" t="s">
        <v>10</v>
      </c>
      <c r="H27" s="327" t="s">
        <v>22</v>
      </c>
      <c r="I27" s="202">
        <v>83905041</v>
      </c>
      <c r="J27" s="7" t="s">
        <v>12</v>
      </c>
      <c r="K27" s="663">
        <v>2.2</v>
      </c>
      <c r="L27" s="9"/>
      <c r="M27" s="10">
        <f>1923-1022</f>
        <v>901</v>
      </c>
      <c r="N27" s="10">
        <f>8466-4444</f>
        <v>4022</v>
      </c>
      <c r="O27" s="10">
        <f t="shared" si="0"/>
        <v>4923</v>
      </c>
      <c r="P27" s="9"/>
      <c r="Q27" s="10">
        <f>1923-1022</f>
        <v>901</v>
      </c>
      <c r="R27" s="10">
        <f>8466-4444</f>
        <v>4022</v>
      </c>
      <c r="S27" s="10">
        <f t="shared" si="1"/>
        <v>4923</v>
      </c>
      <c r="T27" s="9"/>
      <c r="U27" s="10">
        <f t="shared" si="2"/>
        <v>1802</v>
      </c>
      <c r="V27" s="10">
        <f t="shared" si="2"/>
        <v>8044</v>
      </c>
      <c r="W27" s="10">
        <f t="shared" si="3"/>
        <v>9846</v>
      </c>
    </row>
    <row r="28" spans="1:23" ht="30.75">
      <c r="A28" s="234" t="s">
        <v>7</v>
      </c>
      <c r="B28" s="5" t="s">
        <v>8</v>
      </c>
      <c r="C28" s="6" t="s">
        <v>23</v>
      </c>
      <c r="D28" s="6"/>
      <c r="E28" s="6"/>
      <c r="F28" s="6" t="s">
        <v>9</v>
      </c>
      <c r="G28" s="6" t="s">
        <v>10</v>
      </c>
      <c r="H28" s="327" t="s">
        <v>24</v>
      </c>
      <c r="I28" s="202">
        <v>83907878</v>
      </c>
      <c r="J28" s="7" t="s">
        <v>12</v>
      </c>
      <c r="K28" s="663">
        <v>2.2</v>
      </c>
      <c r="L28" s="9"/>
      <c r="M28" s="10">
        <f>3630-1960</f>
        <v>1670</v>
      </c>
      <c r="N28" s="10">
        <f>15905-8387</f>
        <v>7518</v>
      </c>
      <c r="O28" s="10">
        <f t="shared" si="0"/>
        <v>9188</v>
      </c>
      <c r="P28" s="9"/>
      <c r="Q28" s="10">
        <f>3630-1960</f>
        <v>1670</v>
      </c>
      <c r="R28" s="10">
        <f>15905-8387</f>
        <v>7518</v>
      </c>
      <c r="S28" s="10">
        <f t="shared" si="1"/>
        <v>9188</v>
      </c>
      <c r="T28" s="9"/>
      <c r="U28" s="10">
        <f t="shared" si="2"/>
        <v>3340</v>
      </c>
      <c r="V28" s="10">
        <f t="shared" si="2"/>
        <v>15036</v>
      </c>
      <c r="W28" s="10">
        <f t="shared" si="3"/>
        <v>18376</v>
      </c>
    </row>
    <row r="29" spans="1:23" ht="30.75">
      <c r="A29" s="234" t="s">
        <v>7</v>
      </c>
      <c r="B29" s="5" t="s">
        <v>8</v>
      </c>
      <c r="C29" s="6" t="s">
        <v>25</v>
      </c>
      <c r="D29" s="6"/>
      <c r="E29" s="6" t="s">
        <v>141</v>
      </c>
      <c r="F29" s="6" t="s">
        <v>15</v>
      </c>
      <c r="G29" s="6" t="s">
        <v>16</v>
      </c>
      <c r="H29" s="327" t="s">
        <v>26</v>
      </c>
      <c r="I29" s="202">
        <v>83903917</v>
      </c>
      <c r="J29" s="7" t="s">
        <v>12</v>
      </c>
      <c r="K29" s="663">
        <v>2.2</v>
      </c>
      <c r="L29" s="9"/>
      <c r="M29" s="10">
        <f>2184-1185</f>
        <v>999</v>
      </c>
      <c r="N29" s="10">
        <f>9737-5237</f>
        <v>4500</v>
      </c>
      <c r="O29" s="10">
        <f t="shared" si="0"/>
        <v>5499</v>
      </c>
      <c r="P29" s="9"/>
      <c r="Q29" s="10">
        <f>2184-1185</f>
        <v>999</v>
      </c>
      <c r="R29" s="10">
        <f>9737-5237</f>
        <v>4500</v>
      </c>
      <c r="S29" s="10">
        <f t="shared" si="1"/>
        <v>5499</v>
      </c>
      <c r="T29" s="9"/>
      <c r="U29" s="10">
        <f t="shared" si="2"/>
        <v>1998</v>
      </c>
      <c r="V29" s="10">
        <f t="shared" si="2"/>
        <v>9000</v>
      </c>
      <c r="W29" s="10">
        <f t="shared" si="3"/>
        <v>10998</v>
      </c>
    </row>
    <row r="30" spans="1:23" ht="30.75">
      <c r="A30" s="234" t="s">
        <v>7</v>
      </c>
      <c r="B30" s="5" t="s">
        <v>8</v>
      </c>
      <c r="C30" s="6" t="s">
        <v>25</v>
      </c>
      <c r="D30" s="6"/>
      <c r="E30" s="6" t="s">
        <v>671</v>
      </c>
      <c r="F30" s="6" t="s">
        <v>15</v>
      </c>
      <c r="G30" s="6" t="s">
        <v>16</v>
      </c>
      <c r="H30" s="327" t="s">
        <v>27</v>
      </c>
      <c r="I30" s="202">
        <v>83904312</v>
      </c>
      <c r="J30" s="7" t="s">
        <v>12</v>
      </c>
      <c r="K30" s="663">
        <v>2.2</v>
      </c>
      <c r="L30" s="9"/>
      <c r="M30" s="10">
        <f>2626-1414</f>
        <v>1212</v>
      </c>
      <c r="N30" s="10">
        <f>11906-6275</f>
        <v>5631</v>
      </c>
      <c r="O30" s="10">
        <f t="shared" si="0"/>
        <v>6843</v>
      </c>
      <c r="P30" s="9"/>
      <c r="Q30" s="10">
        <f>2626-1414</f>
        <v>1212</v>
      </c>
      <c r="R30" s="10">
        <f>11906-6275</f>
        <v>5631</v>
      </c>
      <c r="S30" s="10">
        <f t="shared" si="1"/>
        <v>6843</v>
      </c>
      <c r="T30" s="9"/>
      <c r="U30" s="10">
        <f t="shared" si="2"/>
        <v>2424</v>
      </c>
      <c r="V30" s="10">
        <f t="shared" si="2"/>
        <v>11262</v>
      </c>
      <c r="W30" s="10">
        <f t="shared" si="3"/>
        <v>13686</v>
      </c>
    </row>
    <row r="31" spans="1:23" ht="30.75">
      <c r="A31" s="234" t="s">
        <v>7</v>
      </c>
      <c r="B31" s="5" t="s">
        <v>8</v>
      </c>
      <c r="C31" s="6" t="s">
        <v>25</v>
      </c>
      <c r="D31" s="6"/>
      <c r="E31" s="6" t="s">
        <v>863</v>
      </c>
      <c r="F31" s="6" t="s">
        <v>15</v>
      </c>
      <c r="G31" s="6" t="s">
        <v>16</v>
      </c>
      <c r="H31" s="327" t="s">
        <v>28</v>
      </c>
      <c r="I31" s="202">
        <v>83904314</v>
      </c>
      <c r="J31" s="7" t="s">
        <v>12</v>
      </c>
      <c r="K31" s="663">
        <v>2.2</v>
      </c>
      <c r="L31" s="9"/>
      <c r="M31" s="10">
        <f>930-500</f>
        <v>430</v>
      </c>
      <c r="N31" s="10">
        <f>4106-2202</f>
        <v>1904</v>
      </c>
      <c r="O31" s="10">
        <f t="shared" si="0"/>
        <v>2334</v>
      </c>
      <c r="P31" s="9"/>
      <c r="Q31" s="10">
        <f>930-500</f>
        <v>430</v>
      </c>
      <c r="R31" s="10">
        <f>4106-2202</f>
        <v>1904</v>
      </c>
      <c r="S31" s="10">
        <f t="shared" si="1"/>
        <v>2334</v>
      </c>
      <c r="T31" s="9"/>
      <c r="U31" s="10">
        <f t="shared" si="2"/>
        <v>860</v>
      </c>
      <c r="V31" s="10">
        <f t="shared" si="2"/>
        <v>3808</v>
      </c>
      <c r="W31" s="10">
        <f t="shared" si="3"/>
        <v>4668</v>
      </c>
    </row>
    <row r="32" spans="1:23" ht="30.75">
      <c r="A32" s="234" t="s">
        <v>7</v>
      </c>
      <c r="B32" s="5" t="s">
        <v>8</v>
      </c>
      <c r="C32" s="6" t="s">
        <v>29</v>
      </c>
      <c r="D32" s="6"/>
      <c r="E32" s="6"/>
      <c r="F32" s="6" t="s">
        <v>9</v>
      </c>
      <c r="G32" s="6" t="s">
        <v>10</v>
      </c>
      <c r="H32" s="327" t="s">
        <v>30</v>
      </c>
      <c r="I32" s="202">
        <v>83904478</v>
      </c>
      <c r="J32" s="7" t="s">
        <v>12</v>
      </c>
      <c r="K32" s="663">
        <v>0.8</v>
      </c>
      <c r="L32" s="9"/>
      <c r="M32" s="10">
        <f>1545-866</f>
        <v>679</v>
      </c>
      <c r="N32" s="10">
        <f>7090-3809</f>
        <v>3281</v>
      </c>
      <c r="O32" s="10">
        <f t="shared" si="0"/>
        <v>3960</v>
      </c>
      <c r="P32" s="9"/>
      <c r="Q32" s="10">
        <f>1545-866</f>
        <v>679</v>
      </c>
      <c r="R32" s="10">
        <f>7090-3809</f>
        <v>3281</v>
      </c>
      <c r="S32" s="10">
        <f t="shared" si="1"/>
        <v>3960</v>
      </c>
      <c r="T32" s="9"/>
      <c r="U32" s="10">
        <f t="shared" si="2"/>
        <v>1358</v>
      </c>
      <c r="V32" s="10">
        <f t="shared" si="2"/>
        <v>6562</v>
      </c>
      <c r="W32" s="10">
        <f t="shared" si="3"/>
        <v>7920</v>
      </c>
    </row>
    <row r="33" spans="1:23" ht="30.75">
      <c r="A33" s="234" t="s">
        <v>7</v>
      </c>
      <c r="B33" s="5" t="s">
        <v>8</v>
      </c>
      <c r="C33" s="6" t="s">
        <v>31</v>
      </c>
      <c r="D33" s="6"/>
      <c r="E33" s="6"/>
      <c r="F33" s="6" t="s">
        <v>9</v>
      </c>
      <c r="G33" s="6" t="s">
        <v>10</v>
      </c>
      <c r="H33" s="327" t="s">
        <v>32</v>
      </c>
      <c r="I33" s="202">
        <v>83908867</v>
      </c>
      <c r="J33" s="7" t="s">
        <v>12</v>
      </c>
      <c r="K33" s="663">
        <v>2.2</v>
      </c>
      <c r="L33" s="9"/>
      <c r="M33" s="10">
        <f>3285-1711</f>
        <v>1574</v>
      </c>
      <c r="N33" s="10">
        <f>13896-6956</f>
        <v>6940</v>
      </c>
      <c r="O33" s="10">
        <f t="shared" si="0"/>
        <v>8514</v>
      </c>
      <c r="P33" s="9"/>
      <c r="Q33" s="10">
        <f>3285-1711</f>
        <v>1574</v>
      </c>
      <c r="R33" s="10">
        <f>13896-6956</f>
        <v>6940</v>
      </c>
      <c r="S33" s="10">
        <f t="shared" si="1"/>
        <v>8514</v>
      </c>
      <c r="T33" s="9"/>
      <c r="U33" s="10">
        <f t="shared" si="2"/>
        <v>3148</v>
      </c>
      <c r="V33" s="10">
        <f t="shared" si="2"/>
        <v>13880</v>
      </c>
      <c r="W33" s="10">
        <f t="shared" si="3"/>
        <v>17028</v>
      </c>
    </row>
    <row r="34" spans="1:23" ht="30.75">
      <c r="A34" s="234" t="s">
        <v>7</v>
      </c>
      <c r="B34" s="5" t="s">
        <v>8</v>
      </c>
      <c r="C34" s="6" t="s">
        <v>31</v>
      </c>
      <c r="D34" s="6"/>
      <c r="E34" s="6">
        <v>5</v>
      </c>
      <c r="F34" s="6" t="s">
        <v>9</v>
      </c>
      <c r="G34" s="6" t="s">
        <v>10</v>
      </c>
      <c r="H34" s="327" t="s">
        <v>33</v>
      </c>
      <c r="I34" s="202">
        <v>83904304</v>
      </c>
      <c r="J34" s="7" t="s">
        <v>12</v>
      </c>
      <c r="K34" s="663">
        <v>2.2</v>
      </c>
      <c r="L34" s="9"/>
      <c r="M34" s="10">
        <f>1820-973</f>
        <v>847</v>
      </c>
      <c r="N34" s="10">
        <f>7504-3950</f>
        <v>3554</v>
      </c>
      <c r="O34" s="10">
        <f t="shared" si="0"/>
        <v>4401</v>
      </c>
      <c r="P34" s="9"/>
      <c r="Q34" s="10">
        <f>1820-973</f>
        <v>847</v>
      </c>
      <c r="R34" s="10">
        <f>7504-3950</f>
        <v>3554</v>
      </c>
      <c r="S34" s="10">
        <f t="shared" si="1"/>
        <v>4401</v>
      </c>
      <c r="T34" s="9"/>
      <c r="U34" s="10">
        <f t="shared" si="2"/>
        <v>1694</v>
      </c>
      <c r="V34" s="10">
        <f t="shared" si="2"/>
        <v>7108</v>
      </c>
      <c r="W34" s="10">
        <f t="shared" si="3"/>
        <v>8802</v>
      </c>
    </row>
    <row r="35" spans="1:23" ht="30.75">
      <c r="A35" s="234" t="s">
        <v>7</v>
      </c>
      <c r="B35" s="5" t="s">
        <v>8</v>
      </c>
      <c r="C35" s="6" t="s">
        <v>35</v>
      </c>
      <c r="D35" s="6"/>
      <c r="E35" s="6">
        <v>80</v>
      </c>
      <c r="F35" s="6" t="s">
        <v>9</v>
      </c>
      <c r="G35" s="6" t="s">
        <v>10</v>
      </c>
      <c r="H35" s="327" t="s">
        <v>34</v>
      </c>
      <c r="I35" s="202">
        <v>83904367</v>
      </c>
      <c r="J35" s="7" t="s">
        <v>12</v>
      </c>
      <c r="K35" s="663">
        <v>2.2</v>
      </c>
      <c r="L35" s="9"/>
      <c r="M35" s="10">
        <f>741-405</f>
        <v>336</v>
      </c>
      <c r="N35" s="10">
        <f>3262-1756</f>
        <v>1506</v>
      </c>
      <c r="O35" s="10">
        <f t="shared" si="0"/>
        <v>1842</v>
      </c>
      <c r="P35" s="9"/>
      <c r="Q35" s="10">
        <f>741-405</f>
        <v>336</v>
      </c>
      <c r="R35" s="10">
        <f>3262-1756</f>
        <v>1506</v>
      </c>
      <c r="S35" s="10">
        <f t="shared" si="1"/>
        <v>1842</v>
      </c>
      <c r="T35" s="9"/>
      <c r="U35" s="10">
        <f t="shared" si="2"/>
        <v>672</v>
      </c>
      <c r="V35" s="10">
        <f t="shared" si="2"/>
        <v>3012</v>
      </c>
      <c r="W35" s="10">
        <f t="shared" si="3"/>
        <v>3684</v>
      </c>
    </row>
    <row r="36" spans="1:23" ht="30.75">
      <c r="A36" s="234" t="s">
        <v>7</v>
      </c>
      <c r="B36" s="5" t="s">
        <v>8</v>
      </c>
      <c r="C36" s="6" t="s">
        <v>35</v>
      </c>
      <c r="D36" s="6"/>
      <c r="E36" s="6">
        <v>3</v>
      </c>
      <c r="F36" s="6" t="s">
        <v>9</v>
      </c>
      <c r="G36" s="6" t="s">
        <v>10</v>
      </c>
      <c r="H36" s="327" t="s">
        <v>36</v>
      </c>
      <c r="I36" s="202">
        <v>83904480</v>
      </c>
      <c r="J36" s="7" t="s">
        <v>12</v>
      </c>
      <c r="K36" s="663">
        <v>2.2</v>
      </c>
      <c r="L36" s="9"/>
      <c r="M36" s="10">
        <f>1802-1010</f>
        <v>792</v>
      </c>
      <c r="N36" s="10">
        <f>7704-4215</f>
        <v>3489</v>
      </c>
      <c r="O36" s="10">
        <f t="shared" si="0"/>
        <v>4281</v>
      </c>
      <c r="P36" s="9"/>
      <c r="Q36" s="10">
        <f>1802-1010</f>
        <v>792</v>
      </c>
      <c r="R36" s="10">
        <f>7704-4215</f>
        <v>3489</v>
      </c>
      <c r="S36" s="10">
        <f t="shared" si="1"/>
        <v>4281</v>
      </c>
      <c r="T36" s="9"/>
      <c r="U36" s="10">
        <f t="shared" si="2"/>
        <v>1584</v>
      </c>
      <c r="V36" s="10">
        <f t="shared" si="2"/>
        <v>6978</v>
      </c>
      <c r="W36" s="10">
        <f t="shared" si="3"/>
        <v>8562</v>
      </c>
    </row>
    <row r="37" spans="1:23" ht="30.75">
      <c r="A37" s="234" t="s">
        <v>7</v>
      </c>
      <c r="B37" s="5" t="s">
        <v>8</v>
      </c>
      <c r="C37" s="6" t="s">
        <v>35</v>
      </c>
      <c r="D37" s="6"/>
      <c r="E37" s="6">
        <v>1</v>
      </c>
      <c r="F37" s="6" t="s">
        <v>9</v>
      </c>
      <c r="G37" s="6" t="s">
        <v>10</v>
      </c>
      <c r="H37" s="327" t="s">
        <v>37</v>
      </c>
      <c r="I37" s="202">
        <v>83904469</v>
      </c>
      <c r="J37" s="7" t="s">
        <v>12</v>
      </c>
      <c r="K37" s="663">
        <v>2.2</v>
      </c>
      <c r="L37" s="9"/>
      <c r="M37" s="10">
        <f>1225-657</f>
        <v>568</v>
      </c>
      <c r="N37" s="10">
        <f>5260-2827</f>
        <v>2433</v>
      </c>
      <c r="O37" s="10">
        <f t="shared" si="0"/>
        <v>3001</v>
      </c>
      <c r="P37" s="9"/>
      <c r="Q37" s="10">
        <f>1225-657</f>
        <v>568</v>
      </c>
      <c r="R37" s="10">
        <f>5260-2827</f>
        <v>2433</v>
      </c>
      <c r="S37" s="10">
        <f t="shared" si="1"/>
        <v>3001</v>
      </c>
      <c r="T37" s="9"/>
      <c r="U37" s="10">
        <f t="shared" si="2"/>
        <v>1136</v>
      </c>
      <c r="V37" s="10">
        <f t="shared" si="2"/>
        <v>4866</v>
      </c>
      <c r="W37" s="10">
        <f t="shared" si="3"/>
        <v>6002</v>
      </c>
    </row>
    <row r="38" spans="1:23" ht="30.75">
      <c r="A38" s="234" t="s">
        <v>7</v>
      </c>
      <c r="B38" s="5" t="s">
        <v>8</v>
      </c>
      <c r="C38" s="6" t="s">
        <v>35</v>
      </c>
      <c r="D38" s="6"/>
      <c r="E38" s="6">
        <v>2</v>
      </c>
      <c r="F38" s="6" t="s">
        <v>9</v>
      </c>
      <c r="G38" s="6" t="s">
        <v>10</v>
      </c>
      <c r="H38" s="327" t="s">
        <v>38</v>
      </c>
      <c r="I38" s="202">
        <v>83903925</v>
      </c>
      <c r="J38" s="7" t="s">
        <v>12</v>
      </c>
      <c r="K38" s="663">
        <v>2.2</v>
      </c>
      <c r="L38" s="9"/>
      <c r="M38" s="10">
        <f>788-444</f>
        <v>344</v>
      </c>
      <c r="N38" s="10">
        <f>3259-1760</f>
        <v>1499</v>
      </c>
      <c r="O38" s="10">
        <f t="shared" si="0"/>
        <v>1843</v>
      </c>
      <c r="P38" s="9"/>
      <c r="Q38" s="10">
        <f>788-444</f>
        <v>344</v>
      </c>
      <c r="R38" s="10">
        <f>3259-1760</f>
        <v>1499</v>
      </c>
      <c r="S38" s="10">
        <f t="shared" si="1"/>
        <v>1843</v>
      </c>
      <c r="T38" s="9"/>
      <c r="U38" s="10">
        <f t="shared" si="2"/>
        <v>688</v>
      </c>
      <c r="V38" s="10">
        <f t="shared" si="2"/>
        <v>2998</v>
      </c>
      <c r="W38" s="10">
        <f t="shared" si="3"/>
        <v>3686</v>
      </c>
    </row>
    <row r="39" spans="1:23" ht="30.75">
      <c r="A39" s="234" t="s">
        <v>7</v>
      </c>
      <c r="B39" s="5" t="s">
        <v>8</v>
      </c>
      <c r="C39" s="6" t="s">
        <v>48</v>
      </c>
      <c r="D39" s="6"/>
      <c r="E39" s="6" t="s">
        <v>49</v>
      </c>
      <c r="F39" s="6" t="s">
        <v>15</v>
      </c>
      <c r="G39" s="6" t="s">
        <v>16</v>
      </c>
      <c r="H39" s="327" t="s">
        <v>50</v>
      </c>
      <c r="I39" s="202">
        <v>83908529</v>
      </c>
      <c r="J39" s="7" t="s">
        <v>12</v>
      </c>
      <c r="K39" s="663">
        <v>1.1</v>
      </c>
      <c r="L39" s="9"/>
      <c r="M39" s="10">
        <f>1192-839</f>
        <v>353</v>
      </c>
      <c r="N39" s="10">
        <f>5559-3579</f>
        <v>1980</v>
      </c>
      <c r="O39" s="10">
        <f t="shared" si="0"/>
        <v>2333</v>
      </c>
      <c r="P39" s="9"/>
      <c r="Q39" s="10">
        <f>1192-839</f>
        <v>353</v>
      </c>
      <c r="R39" s="10">
        <f>5559-3579</f>
        <v>1980</v>
      </c>
      <c r="S39" s="10">
        <f t="shared" si="1"/>
        <v>2333</v>
      </c>
      <c r="T39" s="9"/>
      <c r="U39" s="10">
        <f t="shared" si="2"/>
        <v>706</v>
      </c>
      <c r="V39" s="10">
        <f t="shared" si="2"/>
        <v>3960</v>
      </c>
      <c r="W39" s="10">
        <f t="shared" si="3"/>
        <v>4666</v>
      </c>
    </row>
    <row r="40" spans="1:23" ht="30.75">
      <c r="A40" s="234" t="s">
        <v>7</v>
      </c>
      <c r="B40" s="5" t="s">
        <v>8</v>
      </c>
      <c r="C40" s="660" t="s">
        <v>16</v>
      </c>
      <c r="D40" s="6" t="s">
        <v>54</v>
      </c>
      <c r="E40" s="6"/>
      <c r="F40" s="6" t="s">
        <v>15</v>
      </c>
      <c r="G40" s="6" t="s">
        <v>16</v>
      </c>
      <c r="H40" s="327" t="s">
        <v>55</v>
      </c>
      <c r="I40" s="202">
        <v>83904316</v>
      </c>
      <c r="J40" s="7" t="s">
        <v>12</v>
      </c>
      <c r="K40" s="663">
        <v>1.4</v>
      </c>
      <c r="L40" s="9"/>
      <c r="M40" s="10">
        <f>2909-1550</f>
        <v>1359</v>
      </c>
      <c r="N40" s="10">
        <f>13045-6819</f>
        <v>6226</v>
      </c>
      <c r="O40" s="10">
        <f t="shared" si="0"/>
        <v>7585</v>
      </c>
      <c r="P40" s="9"/>
      <c r="Q40" s="10">
        <f>2909-1550</f>
        <v>1359</v>
      </c>
      <c r="R40" s="10">
        <f>13045-6819</f>
        <v>6226</v>
      </c>
      <c r="S40" s="10">
        <f t="shared" si="1"/>
        <v>7585</v>
      </c>
      <c r="T40" s="9"/>
      <c r="U40" s="10">
        <f t="shared" si="2"/>
        <v>2718</v>
      </c>
      <c r="V40" s="10">
        <f t="shared" si="2"/>
        <v>12452</v>
      </c>
      <c r="W40" s="10">
        <f t="shared" si="3"/>
        <v>15170</v>
      </c>
    </row>
    <row r="41" spans="1:23" ht="30.75">
      <c r="A41" s="234" t="s">
        <v>7</v>
      </c>
      <c r="B41" s="5" t="s">
        <v>8</v>
      </c>
      <c r="C41" s="5" t="s">
        <v>67</v>
      </c>
      <c r="D41" s="6"/>
      <c r="E41" s="6"/>
      <c r="F41" s="6" t="s">
        <v>15</v>
      </c>
      <c r="G41" s="6" t="s">
        <v>16</v>
      </c>
      <c r="H41" s="327" t="s">
        <v>68</v>
      </c>
      <c r="I41" s="202">
        <v>89082109</v>
      </c>
      <c r="J41" s="7" t="s">
        <v>12</v>
      </c>
      <c r="K41" s="663">
        <v>2.2</v>
      </c>
      <c r="L41" s="9"/>
      <c r="M41" s="10">
        <f>1673-1234</f>
        <v>439</v>
      </c>
      <c r="N41" s="10">
        <f>7516-4935</f>
        <v>2581</v>
      </c>
      <c r="O41" s="10">
        <f t="shared" si="0"/>
        <v>3020</v>
      </c>
      <c r="P41" s="9"/>
      <c r="Q41" s="10">
        <f>1673-1234</f>
        <v>439</v>
      </c>
      <c r="R41" s="10">
        <f>7516-4935</f>
        <v>2581</v>
      </c>
      <c r="S41" s="10">
        <f t="shared" si="1"/>
        <v>3020</v>
      </c>
      <c r="T41" s="9"/>
      <c r="U41" s="10">
        <f t="shared" si="2"/>
        <v>878</v>
      </c>
      <c r="V41" s="10">
        <f t="shared" si="2"/>
        <v>5162</v>
      </c>
      <c r="W41" s="10">
        <f t="shared" si="3"/>
        <v>6040</v>
      </c>
    </row>
    <row r="42" spans="1:23" ht="30.75">
      <c r="A42" s="234" t="s">
        <v>7</v>
      </c>
      <c r="B42" s="5" t="s">
        <v>8</v>
      </c>
      <c r="C42" s="5" t="s">
        <v>67</v>
      </c>
      <c r="D42" s="6"/>
      <c r="E42" s="6">
        <v>3</v>
      </c>
      <c r="F42" s="6" t="s">
        <v>15</v>
      </c>
      <c r="G42" s="6" t="s">
        <v>16</v>
      </c>
      <c r="H42" s="327" t="s">
        <v>69</v>
      </c>
      <c r="I42" s="202">
        <v>83558210</v>
      </c>
      <c r="J42" s="7" t="s">
        <v>12</v>
      </c>
      <c r="K42" s="663">
        <v>2.2</v>
      </c>
      <c r="L42" s="9"/>
      <c r="M42" s="10">
        <f>1557-1135</f>
        <v>422</v>
      </c>
      <c r="N42" s="10">
        <f>7122-4651</f>
        <v>2471</v>
      </c>
      <c r="O42" s="10">
        <f t="shared" si="0"/>
        <v>2893</v>
      </c>
      <c r="P42" s="9"/>
      <c r="Q42" s="10">
        <f>1557-1135</f>
        <v>422</v>
      </c>
      <c r="R42" s="10">
        <f>7122-4651</f>
        <v>2471</v>
      </c>
      <c r="S42" s="10">
        <f t="shared" si="1"/>
        <v>2893</v>
      </c>
      <c r="T42" s="9"/>
      <c r="U42" s="10">
        <f t="shared" si="2"/>
        <v>844</v>
      </c>
      <c r="V42" s="10">
        <f t="shared" si="2"/>
        <v>4942</v>
      </c>
      <c r="W42" s="10">
        <f t="shared" si="3"/>
        <v>5786</v>
      </c>
    </row>
    <row r="43" spans="1:23" ht="18">
      <c r="A43" s="234" t="s">
        <v>7</v>
      </c>
      <c r="B43" s="615"/>
      <c r="C43" s="614" t="s">
        <v>16</v>
      </c>
      <c r="D43" s="613" t="s">
        <v>59</v>
      </c>
      <c r="E43" s="613" t="s">
        <v>2192</v>
      </c>
      <c r="F43" s="613" t="s">
        <v>15</v>
      </c>
      <c r="G43" s="613" t="s">
        <v>16</v>
      </c>
      <c r="H43" s="608" t="s">
        <v>2191</v>
      </c>
      <c r="I43" s="635">
        <v>93414557</v>
      </c>
      <c r="J43" s="612" t="s">
        <v>12</v>
      </c>
      <c r="K43" s="611">
        <v>5</v>
      </c>
      <c r="L43" s="610"/>
      <c r="M43" s="609">
        <f>703-369</f>
        <v>334</v>
      </c>
      <c r="N43" s="609">
        <f>2872-1425</f>
        <v>1447</v>
      </c>
      <c r="O43" s="10">
        <f t="shared" si="0"/>
        <v>1781</v>
      </c>
      <c r="P43" s="610"/>
      <c r="Q43" s="609">
        <f>703-369</f>
        <v>334</v>
      </c>
      <c r="R43" s="609">
        <f>2872-1425</f>
        <v>1447</v>
      </c>
      <c r="S43" s="10">
        <f t="shared" si="1"/>
        <v>1781</v>
      </c>
      <c r="T43" s="610"/>
      <c r="U43" s="10">
        <f t="shared" si="2"/>
        <v>668</v>
      </c>
      <c r="V43" s="10">
        <f t="shared" si="2"/>
        <v>2894</v>
      </c>
      <c r="W43" s="10">
        <f t="shared" si="3"/>
        <v>3562</v>
      </c>
    </row>
    <row r="44" spans="1:23" ht="30.75">
      <c r="A44" s="234" t="s">
        <v>7</v>
      </c>
      <c r="B44" s="5" t="s">
        <v>8</v>
      </c>
      <c r="C44" s="660" t="s">
        <v>16</v>
      </c>
      <c r="D44" s="6" t="s">
        <v>1471</v>
      </c>
      <c r="E44" s="6" t="s">
        <v>141</v>
      </c>
      <c r="F44" s="6" t="s">
        <v>15</v>
      </c>
      <c r="G44" s="6" t="s">
        <v>16</v>
      </c>
      <c r="H44" s="327" t="s">
        <v>92</v>
      </c>
      <c r="I44" s="202">
        <v>83908675</v>
      </c>
      <c r="J44" s="7" t="s">
        <v>12</v>
      </c>
      <c r="K44" s="663">
        <v>2.5</v>
      </c>
      <c r="L44" s="9"/>
      <c r="M44" s="10">
        <f>4426-2268</f>
        <v>2158</v>
      </c>
      <c r="N44" s="10">
        <f>18720-9592</f>
        <v>9128</v>
      </c>
      <c r="O44" s="10">
        <f t="shared" si="0"/>
        <v>11286</v>
      </c>
      <c r="P44" s="9"/>
      <c r="Q44" s="10">
        <f>4426-2268</f>
        <v>2158</v>
      </c>
      <c r="R44" s="10">
        <f>18720-9592</f>
        <v>9128</v>
      </c>
      <c r="S44" s="10">
        <f t="shared" si="1"/>
        <v>11286</v>
      </c>
      <c r="T44" s="9"/>
      <c r="U44" s="10">
        <f t="shared" si="2"/>
        <v>4316</v>
      </c>
      <c r="V44" s="10">
        <f t="shared" si="2"/>
        <v>18256</v>
      </c>
      <c r="W44" s="10">
        <f t="shared" si="3"/>
        <v>22572</v>
      </c>
    </row>
    <row r="45" spans="1:23" ht="30.75">
      <c r="A45" s="234" t="s">
        <v>7</v>
      </c>
      <c r="B45" s="5" t="s">
        <v>8</v>
      </c>
      <c r="C45" s="6" t="s">
        <v>93</v>
      </c>
      <c r="D45" s="6"/>
      <c r="E45" s="6">
        <v>16</v>
      </c>
      <c r="F45" s="6" t="s">
        <v>15</v>
      </c>
      <c r="G45" s="6" t="s">
        <v>16</v>
      </c>
      <c r="H45" s="327" t="s">
        <v>94</v>
      </c>
      <c r="I45" s="202">
        <v>83904766</v>
      </c>
      <c r="J45" s="7" t="s">
        <v>12</v>
      </c>
      <c r="K45" s="663">
        <v>1</v>
      </c>
      <c r="L45" s="9"/>
      <c r="M45" s="10">
        <f>2713-1408</f>
        <v>1305</v>
      </c>
      <c r="N45" s="10">
        <f>11802-6221</f>
        <v>5581</v>
      </c>
      <c r="O45" s="10">
        <f t="shared" si="0"/>
        <v>6886</v>
      </c>
      <c r="P45" s="9"/>
      <c r="Q45" s="10">
        <f>2713-1408</f>
        <v>1305</v>
      </c>
      <c r="R45" s="10">
        <f>11802-6221</f>
        <v>5581</v>
      </c>
      <c r="S45" s="10">
        <f t="shared" si="1"/>
        <v>6886</v>
      </c>
      <c r="T45" s="9"/>
      <c r="U45" s="10">
        <f t="shared" si="2"/>
        <v>2610</v>
      </c>
      <c r="V45" s="10">
        <f t="shared" si="2"/>
        <v>11162</v>
      </c>
      <c r="W45" s="10">
        <f t="shared" si="3"/>
        <v>13772</v>
      </c>
    </row>
    <row r="46" spans="1:23" ht="30.75">
      <c r="A46" s="234" t="s">
        <v>7</v>
      </c>
      <c r="B46" s="5" t="s">
        <v>8</v>
      </c>
      <c r="C46" s="6" t="s">
        <v>95</v>
      </c>
      <c r="D46" s="6"/>
      <c r="E46" s="6" t="s">
        <v>141</v>
      </c>
      <c r="F46" s="6" t="s">
        <v>15</v>
      </c>
      <c r="G46" s="6" t="s">
        <v>16</v>
      </c>
      <c r="H46" s="327" t="s">
        <v>96</v>
      </c>
      <c r="I46" s="202">
        <v>89001613</v>
      </c>
      <c r="J46" s="7" t="s">
        <v>12</v>
      </c>
      <c r="K46" s="663">
        <v>0.3</v>
      </c>
      <c r="L46" s="9"/>
      <c r="M46" s="10">
        <f>731-353</f>
        <v>378</v>
      </c>
      <c r="N46" s="10">
        <f>3248-1569</f>
        <v>1679</v>
      </c>
      <c r="O46" s="10">
        <f t="shared" si="0"/>
        <v>2057</v>
      </c>
      <c r="P46" s="9"/>
      <c r="Q46" s="10">
        <f>731-353</f>
        <v>378</v>
      </c>
      <c r="R46" s="10">
        <f>3248-1569</f>
        <v>1679</v>
      </c>
      <c r="S46" s="10">
        <f t="shared" si="1"/>
        <v>2057</v>
      </c>
      <c r="T46" s="9"/>
      <c r="U46" s="10">
        <f t="shared" si="2"/>
        <v>756</v>
      </c>
      <c r="V46" s="10">
        <f t="shared" si="2"/>
        <v>3358</v>
      </c>
      <c r="W46" s="10">
        <f t="shared" si="3"/>
        <v>4114</v>
      </c>
    </row>
    <row r="47" spans="1:23" ht="30.75">
      <c r="A47" s="234" t="s">
        <v>7</v>
      </c>
      <c r="B47" s="5" t="s">
        <v>8</v>
      </c>
      <c r="C47" s="6" t="s">
        <v>97</v>
      </c>
      <c r="D47" s="6"/>
      <c r="E47" s="6">
        <v>3</v>
      </c>
      <c r="F47" s="6" t="s">
        <v>15</v>
      </c>
      <c r="G47" s="6" t="s">
        <v>16</v>
      </c>
      <c r="H47" s="327" t="s">
        <v>98</v>
      </c>
      <c r="I47" s="202">
        <v>83903886</v>
      </c>
      <c r="J47" s="7" t="s">
        <v>12</v>
      </c>
      <c r="K47" s="663">
        <v>3</v>
      </c>
      <c r="L47" s="9"/>
      <c r="M47" s="10">
        <f>2334-1173</f>
        <v>1161</v>
      </c>
      <c r="N47" s="10">
        <f>9751-5161</f>
        <v>4590</v>
      </c>
      <c r="O47" s="10">
        <f t="shared" si="0"/>
        <v>5751</v>
      </c>
      <c r="P47" s="9"/>
      <c r="Q47" s="10">
        <f>2334-1173</f>
        <v>1161</v>
      </c>
      <c r="R47" s="10">
        <f>9751-5161</f>
        <v>4590</v>
      </c>
      <c r="S47" s="10">
        <f t="shared" si="1"/>
        <v>5751</v>
      </c>
      <c r="T47" s="9"/>
      <c r="U47" s="10">
        <f t="shared" si="2"/>
        <v>2322</v>
      </c>
      <c r="V47" s="10">
        <f t="shared" si="2"/>
        <v>9180</v>
      </c>
      <c r="W47" s="10">
        <f t="shared" si="3"/>
        <v>11502</v>
      </c>
    </row>
    <row r="48" spans="1:23" ht="30.75">
      <c r="A48" s="234" t="s">
        <v>7</v>
      </c>
      <c r="B48" s="5" t="s">
        <v>8</v>
      </c>
      <c r="C48" s="6" t="s">
        <v>93</v>
      </c>
      <c r="D48" s="6"/>
      <c r="E48" s="6" t="s">
        <v>99</v>
      </c>
      <c r="F48" s="6" t="s">
        <v>15</v>
      </c>
      <c r="G48" s="6" t="s">
        <v>16</v>
      </c>
      <c r="H48" s="327" t="s">
        <v>100</v>
      </c>
      <c r="I48" s="202">
        <v>83902685</v>
      </c>
      <c r="J48" s="7" t="s">
        <v>12</v>
      </c>
      <c r="K48" s="663">
        <v>1</v>
      </c>
      <c r="L48" s="9"/>
      <c r="M48" s="10">
        <f>2498-1327</f>
        <v>1171</v>
      </c>
      <c r="N48" s="10">
        <f>11358-6012</f>
        <v>5346</v>
      </c>
      <c r="O48" s="10">
        <f t="shared" si="0"/>
        <v>6517</v>
      </c>
      <c r="P48" s="9"/>
      <c r="Q48" s="10">
        <f>2498-1327</f>
        <v>1171</v>
      </c>
      <c r="R48" s="10">
        <f>11358-6012</f>
        <v>5346</v>
      </c>
      <c r="S48" s="10">
        <f t="shared" si="1"/>
        <v>6517</v>
      </c>
      <c r="T48" s="9"/>
      <c r="U48" s="10">
        <f t="shared" si="2"/>
        <v>2342</v>
      </c>
      <c r="V48" s="10">
        <f t="shared" si="2"/>
        <v>10692</v>
      </c>
      <c r="W48" s="10">
        <f t="shared" si="3"/>
        <v>13034</v>
      </c>
    </row>
    <row r="49" spans="1:23" ht="30.75">
      <c r="A49" s="234" t="s">
        <v>7</v>
      </c>
      <c r="B49" s="5" t="s">
        <v>8</v>
      </c>
      <c r="C49" s="6" t="s">
        <v>101</v>
      </c>
      <c r="D49" s="6"/>
      <c r="E49" s="6">
        <v>41</v>
      </c>
      <c r="F49" s="6" t="s">
        <v>15</v>
      </c>
      <c r="G49" s="6" t="s">
        <v>16</v>
      </c>
      <c r="H49" s="327" t="s">
        <v>102</v>
      </c>
      <c r="I49" s="202">
        <v>94313225</v>
      </c>
      <c r="J49" s="7" t="s">
        <v>12</v>
      </c>
      <c r="K49" s="663">
        <v>6.6</v>
      </c>
      <c r="L49" s="9"/>
      <c r="M49" s="10">
        <f>6839-3393</f>
        <v>3446</v>
      </c>
      <c r="N49" s="10">
        <f>28530-13697</f>
        <v>14833</v>
      </c>
      <c r="O49" s="10">
        <f t="shared" si="0"/>
        <v>18279</v>
      </c>
      <c r="P49" s="9"/>
      <c r="Q49" s="10">
        <f>6839-3393</f>
        <v>3446</v>
      </c>
      <c r="R49" s="10">
        <f>28530-13697</f>
        <v>14833</v>
      </c>
      <c r="S49" s="10">
        <f t="shared" si="1"/>
        <v>18279</v>
      </c>
      <c r="T49" s="9"/>
      <c r="U49" s="10">
        <f t="shared" si="2"/>
        <v>6892</v>
      </c>
      <c r="V49" s="10">
        <f t="shared" si="2"/>
        <v>29666</v>
      </c>
      <c r="W49" s="10">
        <f t="shared" si="3"/>
        <v>36558</v>
      </c>
    </row>
    <row r="50" spans="1:23" ht="30.75">
      <c r="A50" s="234" t="s">
        <v>7</v>
      </c>
      <c r="B50" s="5" t="s">
        <v>8</v>
      </c>
      <c r="C50" s="6" t="s">
        <v>101</v>
      </c>
      <c r="D50" s="6"/>
      <c r="E50" s="6">
        <v>92</v>
      </c>
      <c r="F50" s="6" t="s">
        <v>15</v>
      </c>
      <c r="G50" s="6" t="s">
        <v>16</v>
      </c>
      <c r="H50" s="327" t="s">
        <v>103</v>
      </c>
      <c r="I50" s="202">
        <v>94313230</v>
      </c>
      <c r="J50" s="7" t="s">
        <v>12</v>
      </c>
      <c r="K50" s="663">
        <v>6.6</v>
      </c>
      <c r="L50" s="9"/>
      <c r="M50" s="10">
        <f>3547-1722</f>
        <v>1825</v>
      </c>
      <c r="N50" s="10">
        <f>14119-6697</f>
        <v>7422</v>
      </c>
      <c r="O50" s="10">
        <f t="shared" si="0"/>
        <v>9247</v>
      </c>
      <c r="P50" s="9"/>
      <c r="Q50" s="10">
        <f>3547-1722</f>
        <v>1825</v>
      </c>
      <c r="R50" s="10">
        <f>14119-6697</f>
        <v>7422</v>
      </c>
      <c r="S50" s="10">
        <f t="shared" si="1"/>
        <v>9247</v>
      </c>
      <c r="T50" s="9"/>
      <c r="U50" s="10">
        <f t="shared" si="2"/>
        <v>3650</v>
      </c>
      <c r="V50" s="10">
        <f t="shared" si="2"/>
        <v>14844</v>
      </c>
      <c r="W50" s="10">
        <f t="shared" si="3"/>
        <v>18494</v>
      </c>
    </row>
    <row r="51" spans="1:23" ht="30.75">
      <c r="A51" s="234" t="s">
        <v>7</v>
      </c>
      <c r="B51" s="5" t="s">
        <v>8</v>
      </c>
      <c r="C51" s="6" t="s">
        <v>101</v>
      </c>
      <c r="D51" s="6"/>
      <c r="E51" s="6">
        <v>99</v>
      </c>
      <c r="F51" s="6" t="s">
        <v>15</v>
      </c>
      <c r="G51" s="6" t="s">
        <v>16</v>
      </c>
      <c r="H51" s="327" t="s">
        <v>104</v>
      </c>
      <c r="I51" s="202">
        <v>83908609</v>
      </c>
      <c r="J51" s="7" t="s">
        <v>12</v>
      </c>
      <c r="K51" s="663">
        <v>2.2</v>
      </c>
      <c r="L51" s="9"/>
      <c r="M51" s="10">
        <f>983-488</f>
        <v>495</v>
      </c>
      <c r="N51" s="10">
        <f>4244-2074</f>
        <v>2170</v>
      </c>
      <c r="O51" s="10">
        <f t="shared" si="0"/>
        <v>2665</v>
      </c>
      <c r="P51" s="9"/>
      <c r="Q51" s="10">
        <f>983-488</f>
        <v>495</v>
      </c>
      <c r="R51" s="10">
        <f>4244-2074</f>
        <v>2170</v>
      </c>
      <c r="S51" s="10">
        <f t="shared" si="1"/>
        <v>2665</v>
      </c>
      <c r="T51" s="9"/>
      <c r="U51" s="10">
        <f t="shared" si="2"/>
        <v>990</v>
      </c>
      <c r="V51" s="10">
        <f t="shared" si="2"/>
        <v>4340</v>
      </c>
      <c r="W51" s="10">
        <f t="shared" si="3"/>
        <v>5330</v>
      </c>
    </row>
    <row r="52" spans="1:23" ht="30.75">
      <c r="A52" s="234" t="s">
        <v>7</v>
      </c>
      <c r="B52" s="5" t="s">
        <v>8</v>
      </c>
      <c r="C52" s="6" t="s">
        <v>101</v>
      </c>
      <c r="D52" s="6"/>
      <c r="E52" s="6" t="s">
        <v>141</v>
      </c>
      <c r="F52" s="6" t="s">
        <v>15</v>
      </c>
      <c r="G52" s="6" t="s">
        <v>16</v>
      </c>
      <c r="H52" s="327" t="s">
        <v>142</v>
      </c>
      <c r="I52" s="202">
        <v>94313171</v>
      </c>
      <c r="J52" s="7" t="s">
        <v>12</v>
      </c>
      <c r="K52" s="663">
        <v>11</v>
      </c>
      <c r="L52" s="9"/>
      <c r="M52" s="10">
        <f>252-124</f>
        <v>128</v>
      </c>
      <c r="N52" s="10">
        <f>769-389</f>
        <v>380</v>
      </c>
      <c r="O52" s="10">
        <f t="shared" si="0"/>
        <v>508</v>
      </c>
      <c r="P52" s="9"/>
      <c r="Q52" s="10">
        <f>252-124</f>
        <v>128</v>
      </c>
      <c r="R52" s="10">
        <f>769-389</f>
        <v>380</v>
      </c>
      <c r="S52" s="10">
        <f t="shared" si="1"/>
        <v>508</v>
      </c>
      <c r="T52" s="9"/>
      <c r="U52" s="10">
        <f t="shared" si="2"/>
        <v>256</v>
      </c>
      <c r="V52" s="10">
        <f t="shared" si="2"/>
        <v>760</v>
      </c>
      <c r="W52" s="10">
        <f t="shared" si="3"/>
        <v>1016</v>
      </c>
    </row>
    <row r="53" spans="1:23" ht="30.75">
      <c r="A53" s="234" t="s">
        <v>7</v>
      </c>
      <c r="B53" s="5" t="s">
        <v>8</v>
      </c>
      <c r="C53" s="6" t="s">
        <v>105</v>
      </c>
      <c r="D53" s="6"/>
      <c r="E53" s="6" t="s">
        <v>141</v>
      </c>
      <c r="F53" s="6" t="s">
        <v>15</v>
      </c>
      <c r="G53" s="6" t="s">
        <v>16</v>
      </c>
      <c r="H53" s="327" t="s">
        <v>106</v>
      </c>
      <c r="I53" s="202">
        <v>83558116</v>
      </c>
      <c r="J53" s="7" t="s">
        <v>12</v>
      </c>
      <c r="K53" s="663">
        <v>0.9</v>
      </c>
      <c r="L53" s="9"/>
      <c r="M53" s="10">
        <f>4484-2154</f>
        <v>2330</v>
      </c>
      <c r="N53" s="10">
        <f>13184-7401</f>
        <v>5783</v>
      </c>
      <c r="O53" s="10">
        <f t="shared" si="0"/>
        <v>8113</v>
      </c>
      <c r="P53" s="9"/>
      <c r="Q53" s="10">
        <f>4484-2154</f>
        <v>2330</v>
      </c>
      <c r="R53" s="10">
        <f>13184-7401</f>
        <v>5783</v>
      </c>
      <c r="S53" s="10">
        <f t="shared" si="1"/>
        <v>8113</v>
      </c>
      <c r="T53" s="9"/>
      <c r="U53" s="10">
        <f t="shared" si="2"/>
        <v>4660</v>
      </c>
      <c r="V53" s="10">
        <f t="shared" si="2"/>
        <v>11566</v>
      </c>
      <c r="W53" s="10">
        <f t="shared" si="3"/>
        <v>16226</v>
      </c>
    </row>
    <row r="54" spans="1:23" ht="30.75">
      <c r="A54" s="234" t="s">
        <v>7</v>
      </c>
      <c r="B54" s="5" t="s">
        <v>8</v>
      </c>
      <c r="C54" s="6" t="s">
        <v>105</v>
      </c>
      <c r="D54" s="6"/>
      <c r="E54" s="6" t="s">
        <v>671</v>
      </c>
      <c r="F54" s="6" t="s">
        <v>15</v>
      </c>
      <c r="G54" s="6" t="s">
        <v>16</v>
      </c>
      <c r="H54" s="327" t="s">
        <v>107</v>
      </c>
      <c r="I54" s="202">
        <v>83558174</v>
      </c>
      <c r="J54" s="7" t="s">
        <v>12</v>
      </c>
      <c r="K54" s="663">
        <v>0.9</v>
      </c>
      <c r="L54" s="9"/>
      <c r="M54" s="10">
        <f>1969-1040</f>
        <v>929</v>
      </c>
      <c r="N54" s="10">
        <f>7962-4113</f>
        <v>3849</v>
      </c>
      <c r="O54" s="10">
        <f t="shared" si="0"/>
        <v>4778</v>
      </c>
      <c r="P54" s="9"/>
      <c r="Q54" s="10">
        <f>1969-1040</f>
        <v>929</v>
      </c>
      <c r="R54" s="10">
        <f>7962-4113</f>
        <v>3849</v>
      </c>
      <c r="S54" s="10">
        <f t="shared" si="1"/>
        <v>4778</v>
      </c>
      <c r="T54" s="9"/>
      <c r="U54" s="10">
        <f t="shared" si="2"/>
        <v>1858</v>
      </c>
      <c r="V54" s="10">
        <f t="shared" si="2"/>
        <v>7698</v>
      </c>
      <c r="W54" s="10">
        <f t="shared" si="3"/>
        <v>9556</v>
      </c>
    </row>
    <row r="55" spans="1:23" ht="30.75">
      <c r="A55" s="234" t="s">
        <v>7</v>
      </c>
      <c r="B55" s="5" t="s">
        <v>8</v>
      </c>
      <c r="C55" s="6" t="s">
        <v>115</v>
      </c>
      <c r="D55" s="6"/>
      <c r="E55" s="6">
        <v>11</v>
      </c>
      <c r="F55" s="6" t="s">
        <v>15</v>
      </c>
      <c r="G55" s="6" t="s">
        <v>16</v>
      </c>
      <c r="H55" s="327" t="s">
        <v>116</v>
      </c>
      <c r="I55" s="202">
        <v>89083657</v>
      </c>
      <c r="J55" s="7" t="s">
        <v>12</v>
      </c>
      <c r="K55" s="663">
        <v>2.2</v>
      </c>
      <c r="L55" s="9"/>
      <c r="M55" s="10">
        <f>1981-389</f>
        <v>1592</v>
      </c>
      <c r="N55" s="10">
        <f>7923-1085</f>
        <v>6838</v>
      </c>
      <c r="O55" s="10">
        <f t="shared" si="0"/>
        <v>8430</v>
      </c>
      <c r="P55" s="9"/>
      <c r="Q55" s="10">
        <f>1981-389</f>
        <v>1592</v>
      </c>
      <c r="R55" s="10">
        <f>7923-1085</f>
        <v>6838</v>
      </c>
      <c r="S55" s="10">
        <f t="shared" si="1"/>
        <v>8430</v>
      </c>
      <c r="T55" s="9"/>
      <c r="U55" s="10">
        <f t="shared" si="2"/>
        <v>3184</v>
      </c>
      <c r="V55" s="10">
        <f t="shared" si="2"/>
        <v>13676</v>
      </c>
      <c r="W55" s="10">
        <f t="shared" si="3"/>
        <v>16860</v>
      </c>
    </row>
    <row r="56" spans="1:23" ht="30.75">
      <c r="A56" s="234" t="s">
        <v>7</v>
      </c>
      <c r="B56" s="5" t="s">
        <v>8</v>
      </c>
      <c r="C56" s="6" t="s">
        <v>117</v>
      </c>
      <c r="D56" s="6"/>
      <c r="E56" s="6"/>
      <c r="F56" s="6" t="s">
        <v>15</v>
      </c>
      <c r="G56" s="6" t="s">
        <v>16</v>
      </c>
      <c r="H56" s="327" t="s">
        <v>118</v>
      </c>
      <c r="I56" s="202">
        <v>83558133</v>
      </c>
      <c r="J56" s="7" t="s">
        <v>12</v>
      </c>
      <c r="K56" s="663">
        <v>2.2</v>
      </c>
      <c r="L56" s="9"/>
      <c r="M56" s="10">
        <f>1114-625</f>
        <v>489</v>
      </c>
      <c r="N56" s="10">
        <f>4512-2403</f>
        <v>2109</v>
      </c>
      <c r="O56" s="10">
        <f t="shared" si="0"/>
        <v>2598</v>
      </c>
      <c r="P56" s="9"/>
      <c r="Q56" s="10">
        <f>1114-625</f>
        <v>489</v>
      </c>
      <c r="R56" s="10">
        <f>4512-2403</f>
        <v>2109</v>
      </c>
      <c r="S56" s="10">
        <f t="shared" si="1"/>
        <v>2598</v>
      </c>
      <c r="T56" s="9"/>
      <c r="U56" s="10">
        <f t="shared" si="2"/>
        <v>978</v>
      </c>
      <c r="V56" s="10">
        <f t="shared" si="2"/>
        <v>4218</v>
      </c>
      <c r="W56" s="10">
        <f t="shared" si="3"/>
        <v>5196</v>
      </c>
    </row>
    <row r="57" spans="1:23" ht="30.75">
      <c r="A57" s="234" t="s">
        <v>7</v>
      </c>
      <c r="B57" s="5" t="s">
        <v>8</v>
      </c>
      <c r="C57" s="6" t="s">
        <v>119</v>
      </c>
      <c r="D57" s="6"/>
      <c r="E57" s="6">
        <v>6</v>
      </c>
      <c r="F57" s="6" t="s">
        <v>15</v>
      </c>
      <c r="G57" s="6" t="s">
        <v>16</v>
      </c>
      <c r="H57" s="327" t="s">
        <v>120</v>
      </c>
      <c r="I57" s="202">
        <v>83904610</v>
      </c>
      <c r="J57" s="7" t="s">
        <v>12</v>
      </c>
      <c r="K57" s="663">
        <v>1</v>
      </c>
      <c r="L57" s="9"/>
      <c r="M57" s="10">
        <f>1772-891</f>
        <v>881</v>
      </c>
      <c r="N57" s="10">
        <f>7591-3862</f>
        <v>3729</v>
      </c>
      <c r="O57" s="10">
        <f t="shared" si="0"/>
        <v>4610</v>
      </c>
      <c r="P57" s="9"/>
      <c r="Q57" s="10">
        <f>1772-891</f>
        <v>881</v>
      </c>
      <c r="R57" s="10">
        <f>7591-3862</f>
        <v>3729</v>
      </c>
      <c r="S57" s="10">
        <f t="shared" si="1"/>
        <v>4610</v>
      </c>
      <c r="T57" s="9"/>
      <c r="U57" s="10">
        <f t="shared" si="2"/>
        <v>1762</v>
      </c>
      <c r="V57" s="10">
        <f t="shared" si="2"/>
        <v>7458</v>
      </c>
      <c r="W57" s="10">
        <f t="shared" si="3"/>
        <v>9220</v>
      </c>
    </row>
    <row r="58" spans="1:23" ht="30.75">
      <c r="A58" s="234" t="s">
        <v>7</v>
      </c>
      <c r="B58" s="5" t="s">
        <v>8</v>
      </c>
      <c r="C58" s="6" t="s">
        <v>119</v>
      </c>
      <c r="D58" s="6"/>
      <c r="E58" s="6">
        <v>38</v>
      </c>
      <c r="F58" s="6" t="s">
        <v>15</v>
      </c>
      <c r="G58" s="6" t="s">
        <v>16</v>
      </c>
      <c r="H58" s="327" t="s">
        <v>121</v>
      </c>
      <c r="I58" s="202">
        <v>83908739</v>
      </c>
      <c r="J58" s="7" t="s">
        <v>12</v>
      </c>
      <c r="K58" s="663">
        <v>2.2</v>
      </c>
      <c r="L58" s="9"/>
      <c r="M58" s="10">
        <f>1667-856</f>
        <v>811</v>
      </c>
      <c r="N58" s="10">
        <f>7584-3873</f>
        <v>3711</v>
      </c>
      <c r="O58" s="10">
        <f t="shared" si="0"/>
        <v>4522</v>
      </c>
      <c r="P58" s="9"/>
      <c r="Q58" s="10">
        <f>1667-856</f>
        <v>811</v>
      </c>
      <c r="R58" s="10">
        <f>7584-3873</f>
        <v>3711</v>
      </c>
      <c r="S58" s="10">
        <f t="shared" si="1"/>
        <v>4522</v>
      </c>
      <c r="T58" s="9"/>
      <c r="U58" s="10">
        <f t="shared" si="2"/>
        <v>1622</v>
      </c>
      <c r="V58" s="10">
        <f t="shared" si="2"/>
        <v>7422</v>
      </c>
      <c r="W58" s="10">
        <f t="shared" si="3"/>
        <v>9044</v>
      </c>
    </row>
    <row r="59" spans="1:23" ht="30.75">
      <c r="A59" s="234" t="s">
        <v>7</v>
      </c>
      <c r="B59" s="5" t="s">
        <v>8</v>
      </c>
      <c r="C59" s="6" t="s">
        <v>123</v>
      </c>
      <c r="D59" s="6"/>
      <c r="E59" s="6">
        <v>14</v>
      </c>
      <c r="F59" s="6" t="s">
        <v>15</v>
      </c>
      <c r="G59" s="6" t="s">
        <v>16</v>
      </c>
      <c r="H59" s="327" t="s">
        <v>124</v>
      </c>
      <c r="I59" s="202">
        <v>83904858</v>
      </c>
      <c r="J59" s="7" t="s">
        <v>12</v>
      </c>
      <c r="K59" s="663">
        <v>3.5</v>
      </c>
      <c r="L59" s="9"/>
      <c r="M59" s="10">
        <f>3102-1546</f>
        <v>1556</v>
      </c>
      <c r="N59" s="10">
        <f>13487-6826</f>
        <v>6661</v>
      </c>
      <c r="O59" s="10">
        <f t="shared" si="0"/>
        <v>8217</v>
      </c>
      <c r="P59" s="9"/>
      <c r="Q59" s="10">
        <f>3102-1546</f>
        <v>1556</v>
      </c>
      <c r="R59" s="10">
        <f>13487-6826</f>
        <v>6661</v>
      </c>
      <c r="S59" s="10">
        <f t="shared" si="1"/>
        <v>8217</v>
      </c>
      <c r="T59" s="9"/>
      <c r="U59" s="10">
        <f t="shared" si="2"/>
        <v>3112</v>
      </c>
      <c r="V59" s="10">
        <f t="shared" si="2"/>
        <v>13322</v>
      </c>
      <c r="W59" s="10">
        <f t="shared" si="3"/>
        <v>16434</v>
      </c>
    </row>
    <row r="60" spans="1:23" ht="30.75">
      <c r="A60" s="234" t="s">
        <v>7</v>
      </c>
      <c r="B60" s="5" t="s">
        <v>8</v>
      </c>
      <c r="C60" s="6" t="s">
        <v>95</v>
      </c>
      <c r="D60" s="6"/>
      <c r="E60" s="6" t="s">
        <v>671</v>
      </c>
      <c r="F60" s="6" t="s">
        <v>15</v>
      </c>
      <c r="G60" s="6" t="s">
        <v>16</v>
      </c>
      <c r="H60" s="327" t="s">
        <v>125</v>
      </c>
      <c r="I60" s="202">
        <v>94313181</v>
      </c>
      <c r="J60" s="7" t="s">
        <v>12</v>
      </c>
      <c r="K60" s="663">
        <v>6.6</v>
      </c>
      <c r="L60" s="9"/>
      <c r="M60" s="10">
        <f>1536-734</f>
        <v>802</v>
      </c>
      <c r="N60" s="10">
        <f>6338-2962</f>
        <v>3376</v>
      </c>
      <c r="O60" s="10">
        <f t="shared" si="0"/>
        <v>4178</v>
      </c>
      <c r="P60" s="9"/>
      <c r="Q60" s="10">
        <f>1536-734</f>
        <v>802</v>
      </c>
      <c r="R60" s="10">
        <f>6338-2962</f>
        <v>3376</v>
      </c>
      <c r="S60" s="10">
        <f t="shared" si="1"/>
        <v>4178</v>
      </c>
      <c r="T60" s="9"/>
      <c r="U60" s="10">
        <f t="shared" si="2"/>
        <v>1604</v>
      </c>
      <c r="V60" s="10">
        <f t="shared" si="2"/>
        <v>6752</v>
      </c>
      <c r="W60" s="10">
        <f t="shared" si="3"/>
        <v>8356</v>
      </c>
    </row>
    <row r="61" spans="1:23" ht="30.75">
      <c r="A61" s="234" t="s">
        <v>7</v>
      </c>
      <c r="B61" s="5" t="s">
        <v>8</v>
      </c>
      <c r="C61" s="6" t="s">
        <v>95</v>
      </c>
      <c r="D61" s="6"/>
      <c r="E61" s="6" t="s">
        <v>863</v>
      </c>
      <c r="F61" s="6" t="s">
        <v>15</v>
      </c>
      <c r="G61" s="6" t="s">
        <v>16</v>
      </c>
      <c r="H61" s="327" t="s">
        <v>126</v>
      </c>
      <c r="I61" s="202">
        <v>94313026</v>
      </c>
      <c r="J61" s="7" t="s">
        <v>12</v>
      </c>
      <c r="K61" s="663">
        <v>2.4</v>
      </c>
      <c r="L61" s="9"/>
      <c r="M61" s="10">
        <f>3926-1848</f>
        <v>2078</v>
      </c>
      <c r="N61" s="10">
        <f>16029-7533</f>
        <v>8496</v>
      </c>
      <c r="O61" s="10">
        <f t="shared" si="0"/>
        <v>10574</v>
      </c>
      <c r="P61" s="9"/>
      <c r="Q61" s="10">
        <f>3926-1848</f>
        <v>2078</v>
      </c>
      <c r="R61" s="10">
        <f>16029-7533</f>
        <v>8496</v>
      </c>
      <c r="S61" s="10">
        <f t="shared" si="1"/>
        <v>10574</v>
      </c>
      <c r="T61" s="9"/>
      <c r="U61" s="10">
        <f t="shared" si="2"/>
        <v>4156</v>
      </c>
      <c r="V61" s="10">
        <f t="shared" si="2"/>
        <v>16992</v>
      </c>
      <c r="W61" s="10">
        <f t="shared" si="3"/>
        <v>21148</v>
      </c>
    </row>
    <row r="62" spans="1:23" ht="30.75">
      <c r="A62" s="234" t="s">
        <v>7</v>
      </c>
      <c r="B62" s="5" t="s">
        <v>8</v>
      </c>
      <c r="C62" s="6" t="s">
        <v>95</v>
      </c>
      <c r="D62" s="6"/>
      <c r="E62" s="6" t="s">
        <v>307</v>
      </c>
      <c r="F62" s="6" t="s">
        <v>15</v>
      </c>
      <c r="G62" s="6" t="s">
        <v>16</v>
      </c>
      <c r="H62" s="327" t="s">
        <v>127</v>
      </c>
      <c r="I62" s="202">
        <v>94313636</v>
      </c>
      <c r="J62" s="7" t="s">
        <v>12</v>
      </c>
      <c r="K62" s="663">
        <v>6.6</v>
      </c>
      <c r="L62" s="9"/>
      <c r="M62" s="10">
        <f>3125-1464</f>
        <v>1661</v>
      </c>
      <c r="N62" s="10">
        <f>12522-5941</f>
        <v>6581</v>
      </c>
      <c r="O62" s="10">
        <f t="shared" si="0"/>
        <v>8242</v>
      </c>
      <c r="P62" s="9"/>
      <c r="Q62" s="10">
        <f>3125-1464</f>
        <v>1661</v>
      </c>
      <c r="R62" s="10">
        <f>12522-5941</f>
        <v>6581</v>
      </c>
      <c r="S62" s="10">
        <f t="shared" si="1"/>
        <v>8242</v>
      </c>
      <c r="T62" s="9"/>
      <c r="U62" s="10">
        <f t="shared" si="2"/>
        <v>3322</v>
      </c>
      <c r="V62" s="10">
        <f t="shared" si="2"/>
        <v>13162</v>
      </c>
      <c r="W62" s="10">
        <f t="shared" si="3"/>
        <v>16484</v>
      </c>
    </row>
    <row r="63" spans="1:23" ht="30.75">
      <c r="A63" s="234" t="s">
        <v>7</v>
      </c>
      <c r="B63" s="5" t="s">
        <v>8</v>
      </c>
      <c r="C63" s="6" t="s">
        <v>128</v>
      </c>
      <c r="D63" s="6"/>
      <c r="E63" s="6"/>
      <c r="F63" s="6" t="s">
        <v>15</v>
      </c>
      <c r="G63" s="6" t="s">
        <v>16</v>
      </c>
      <c r="H63" s="327" t="s">
        <v>129</v>
      </c>
      <c r="I63" s="202">
        <v>83902680</v>
      </c>
      <c r="J63" s="7" t="s">
        <v>12</v>
      </c>
      <c r="K63" s="663">
        <v>2.2</v>
      </c>
      <c r="L63" s="9"/>
      <c r="M63" s="10">
        <f>1289-678</f>
        <v>611</v>
      </c>
      <c r="N63" s="10">
        <f>5599-2956</f>
        <v>2643</v>
      </c>
      <c r="O63" s="10">
        <f t="shared" si="0"/>
        <v>3254</v>
      </c>
      <c r="P63" s="9"/>
      <c r="Q63" s="10">
        <f>1289-678</f>
        <v>611</v>
      </c>
      <c r="R63" s="10">
        <f>5599-2956</f>
        <v>2643</v>
      </c>
      <c r="S63" s="10">
        <f t="shared" si="1"/>
        <v>3254</v>
      </c>
      <c r="T63" s="9"/>
      <c r="U63" s="10">
        <f t="shared" si="2"/>
        <v>1222</v>
      </c>
      <c r="V63" s="10">
        <f t="shared" si="2"/>
        <v>5286</v>
      </c>
      <c r="W63" s="10">
        <f t="shared" si="3"/>
        <v>6508</v>
      </c>
    </row>
    <row r="64" spans="1:23" ht="30.75">
      <c r="A64" s="234" t="s">
        <v>7</v>
      </c>
      <c r="B64" s="5" t="s">
        <v>8</v>
      </c>
      <c r="C64" s="6" t="s">
        <v>128</v>
      </c>
      <c r="D64" s="6"/>
      <c r="E64" s="6">
        <v>41</v>
      </c>
      <c r="F64" s="6" t="s">
        <v>15</v>
      </c>
      <c r="G64" s="6" t="s">
        <v>16</v>
      </c>
      <c r="H64" s="327" t="s">
        <v>130</v>
      </c>
      <c r="I64" s="202">
        <v>83903336</v>
      </c>
      <c r="J64" s="7" t="s">
        <v>12</v>
      </c>
      <c r="K64" s="663">
        <v>2.2</v>
      </c>
      <c r="L64" s="9"/>
      <c r="M64" s="10">
        <f>1406-745</f>
        <v>661</v>
      </c>
      <c r="N64" s="10">
        <f>6489-3426</f>
        <v>3063</v>
      </c>
      <c r="O64" s="10">
        <f t="shared" si="0"/>
        <v>3724</v>
      </c>
      <c r="P64" s="9"/>
      <c r="Q64" s="10">
        <f>1406-745</f>
        <v>661</v>
      </c>
      <c r="R64" s="10">
        <f>6489-3426</f>
        <v>3063</v>
      </c>
      <c r="S64" s="10">
        <f t="shared" si="1"/>
        <v>3724</v>
      </c>
      <c r="T64" s="9"/>
      <c r="U64" s="10">
        <f t="shared" si="2"/>
        <v>1322</v>
      </c>
      <c r="V64" s="10">
        <f t="shared" si="2"/>
        <v>6126</v>
      </c>
      <c r="W64" s="10">
        <f t="shared" si="3"/>
        <v>7448</v>
      </c>
    </row>
    <row r="65" spans="1:23" ht="30.75">
      <c r="A65" s="234" t="s">
        <v>7</v>
      </c>
      <c r="B65" s="5" t="s">
        <v>8</v>
      </c>
      <c r="C65" s="6" t="s">
        <v>128</v>
      </c>
      <c r="D65" s="6"/>
      <c r="E65" s="6">
        <v>63</v>
      </c>
      <c r="F65" s="6" t="s">
        <v>15</v>
      </c>
      <c r="G65" s="6" t="s">
        <v>16</v>
      </c>
      <c r="H65" s="327" t="s">
        <v>131</v>
      </c>
      <c r="I65" s="202">
        <v>83898866</v>
      </c>
      <c r="J65" s="7" t="s">
        <v>12</v>
      </c>
      <c r="K65" s="663">
        <v>2.2</v>
      </c>
      <c r="L65" s="9"/>
      <c r="M65" s="10">
        <f>1637-859</f>
        <v>778</v>
      </c>
      <c r="N65" s="10">
        <f>7171-3850</f>
        <v>3321</v>
      </c>
      <c r="O65" s="10">
        <f t="shared" si="0"/>
        <v>4099</v>
      </c>
      <c r="P65" s="9"/>
      <c r="Q65" s="10">
        <f>1637-859</f>
        <v>778</v>
      </c>
      <c r="R65" s="10">
        <f>7171-3850</f>
        <v>3321</v>
      </c>
      <c r="S65" s="10">
        <f t="shared" si="1"/>
        <v>4099</v>
      </c>
      <c r="T65" s="9"/>
      <c r="U65" s="10">
        <f t="shared" si="2"/>
        <v>1556</v>
      </c>
      <c r="V65" s="10">
        <f t="shared" si="2"/>
        <v>6642</v>
      </c>
      <c r="W65" s="10">
        <f t="shared" si="3"/>
        <v>8198</v>
      </c>
    </row>
    <row r="66" spans="1:23" ht="30.75">
      <c r="A66" s="234" t="s">
        <v>7</v>
      </c>
      <c r="B66" s="5" t="s">
        <v>8</v>
      </c>
      <c r="C66" s="6" t="s">
        <v>16</v>
      </c>
      <c r="D66" s="6" t="s">
        <v>132</v>
      </c>
      <c r="E66" s="6">
        <v>44</v>
      </c>
      <c r="F66" s="6" t="s">
        <v>15</v>
      </c>
      <c r="G66" s="6" t="s">
        <v>16</v>
      </c>
      <c r="H66" s="327" t="s">
        <v>133</v>
      </c>
      <c r="I66" s="202">
        <v>83907909</v>
      </c>
      <c r="J66" s="7" t="s">
        <v>12</v>
      </c>
      <c r="K66" s="663">
        <v>2.2</v>
      </c>
      <c r="L66" s="9"/>
      <c r="M66" s="10">
        <f>853-406</f>
        <v>447</v>
      </c>
      <c r="N66" s="10">
        <f>3660-1714</f>
        <v>1946</v>
      </c>
      <c r="O66" s="10">
        <f t="shared" si="0"/>
        <v>2393</v>
      </c>
      <c r="P66" s="9"/>
      <c r="Q66" s="10">
        <f>853-406</f>
        <v>447</v>
      </c>
      <c r="R66" s="10">
        <f>3660-1714</f>
        <v>1946</v>
      </c>
      <c r="S66" s="10">
        <f t="shared" si="1"/>
        <v>2393</v>
      </c>
      <c r="T66" s="9"/>
      <c r="U66" s="10">
        <f t="shared" si="2"/>
        <v>894</v>
      </c>
      <c r="V66" s="10">
        <f t="shared" si="2"/>
        <v>3892</v>
      </c>
      <c r="W66" s="10">
        <f t="shared" si="3"/>
        <v>4786</v>
      </c>
    </row>
    <row r="67" spans="1:23" ht="30.75">
      <c r="A67" s="234" t="s">
        <v>7</v>
      </c>
      <c r="B67" s="5" t="s">
        <v>8</v>
      </c>
      <c r="C67" s="6" t="s">
        <v>16</v>
      </c>
      <c r="D67" s="6" t="s">
        <v>134</v>
      </c>
      <c r="E67" s="6">
        <v>2</v>
      </c>
      <c r="F67" s="6" t="s">
        <v>15</v>
      </c>
      <c r="G67" s="6" t="s">
        <v>16</v>
      </c>
      <c r="H67" s="327" t="s">
        <v>135</v>
      </c>
      <c r="I67" s="202">
        <v>83904553</v>
      </c>
      <c r="J67" s="7" t="s">
        <v>12</v>
      </c>
      <c r="K67" s="663">
        <v>2.2</v>
      </c>
      <c r="L67" s="9"/>
      <c r="M67" s="10">
        <f>1633-990</f>
        <v>643</v>
      </c>
      <c r="N67" s="10">
        <f>7841-4526</f>
        <v>3315</v>
      </c>
      <c r="O67" s="10">
        <f t="shared" si="0"/>
        <v>3958</v>
      </c>
      <c r="P67" s="9"/>
      <c r="Q67" s="10">
        <f>1633-990</f>
        <v>643</v>
      </c>
      <c r="R67" s="10">
        <f>7841-4526</f>
        <v>3315</v>
      </c>
      <c r="S67" s="10">
        <f t="shared" si="1"/>
        <v>3958</v>
      </c>
      <c r="T67" s="9"/>
      <c r="U67" s="10">
        <f t="shared" si="2"/>
        <v>1286</v>
      </c>
      <c r="V67" s="10">
        <f t="shared" si="2"/>
        <v>6630</v>
      </c>
      <c r="W67" s="10">
        <f t="shared" si="3"/>
        <v>7916</v>
      </c>
    </row>
    <row r="68" spans="1:23" ht="30.75">
      <c r="A68" s="234" t="s">
        <v>7</v>
      </c>
      <c r="B68" s="5" t="s">
        <v>8</v>
      </c>
      <c r="C68" s="6" t="s">
        <v>16</v>
      </c>
      <c r="D68" s="6" t="s">
        <v>134</v>
      </c>
      <c r="E68" s="6">
        <v>61</v>
      </c>
      <c r="F68" s="6" t="s">
        <v>15</v>
      </c>
      <c r="G68" s="6" t="s">
        <v>16</v>
      </c>
      <c r="H68" s="327" t="s">
        <v>136</v>
      </c>
      <c r="I68" s="202">
        <v>83902677</v>
      </c>
      <c r="J68" s="7" t="s">
        <v>12</v>
      </c>
      <c r="K68" s="663">
        <v>1.3</v>
      </c>
      <c r="L68" s="9"/>
      <c r="M68" s="10">
        <f>3367-2820</f>
        <v>547</v>
      </c>
      <c r="N68" s="10">
        <f>15182-12551</f>
        <v>2631</v>
      </c>
      <c r="O68" s="10">
        <f t="shared" si="0"/>
        <v>3178</v>
      </c>
      <c r="P68" s="9"/>
      <c r="Q68" s="10">
        <f>3367-2820</f>
        <v>547</v>
      </c>
      <c r="R68" s="10">
        <f>15182-12551</f>
        <v>2631</v>
      </c>
      <c r="S68" s="10">
        <f t="shared" si="1"/>
        <v>3178</v>
      </c>
      <c r="T68" s="9"/>
      <c r="U68" s="10">
        <f t="shared" si="2"/>
        <v>1094</v>
      </c>
      <c r="V68" s="10">
        <f t="shared" si="2"/>
        <v>5262</v>
      </c>
      <c r="W68" s="10">
        <f t="shared" si="3"/>
        <v>6356</v>
      </c>
    </row>
    <row r="69" spans="1:23" ht="30.75">
      <c r="A69" s="234" t="s">
        <v>7</v>
      </c>
      <c r="B69" s="5" t="s">
        <v>8</v>
      </c>
      <c r="C69" s="6" t="s">
        <v>137</v>
      </c>
      <c r="D69" s="6"/>
      <c r="E69" s="6">
        <v>19</v>
      </c>
      <c r="F69" s="6" t="s">
        <v>15</v>
      </c>
      <c r="G69" s="6" t="s">
        <v>16</v>
      </c>
      <c r="H69" s="327" t="s">
        <v>138</v>
      </c>
      <c r="I69" s="202">
        <v>83905001</v>
      </c>
      <c r="J69" s="7" t="s">
        <v>12</v>
      </c>
      <c r="K69" s="663">
        <v>1.2</v>
      </c>
      <c r="L69" s="9"/>
      <c r="M69" s="10">
        <f>1279-657</f>
        <v>622</v>
      </c>
      <c r="N69" s="10">
        <f>5657-2959</f>
        <v>2698</v>
      </c>
      <c r="O69" s="10">
        <f t="shared" si="0"/>
        <v>3320</v>
      </c>
      <c r="P69" s="9"/>
      <c r="Q69" s="10">
        <f>1279-657</f>
        <v>622</v>
      </c>
      <c r="R69" s="10">
        <f>5657-2959</f>
        <v>2698</v>
      </c>
      <c r="S69" s="10">
        <f t="shared" si="1"/>
        <v>3320</v>
      </c>
      <c r="T69" s="9"/>
      <c r="U69" s="10">
        <f t="shared" si="2"/>
        <v>1244</v>
      </c>
      <c r="V69" s="10">
        <f t="shared" si="2"/>
        <v>5396</v>
      </c>
      <c r="W69" s="10">
        <f t="shared" si="3"/>
        <v>6640</v>
      </c>
    </row>
    <row r="70" spans="1:23" ht="30.75">
      <c r="A70" s="234" t="s">
        <v>7</v>
      </c>
      <c r="B70" s="5" t="s">
        <v>8</v>
      </c>
      <c r="C70" s="6" t="s">
        <v>137</v>
      </c>
      <c r="D70" s="6"/>
      <c r="E70" s="6">
        <v>55</v>
      </c>
      <c r="F70" s="6" t="s">
        <v>15</v>
      </c>
      <c r="G70" s="6" t="s">
        <v>16</v>
      </c>
      <c r="H70" s="327" t="s">
        <v>139</v>
      </c>
      <c r="I70" s="202">
        <v>89082094</v>
      </c>
      <c r="J70" s="7" t="s">
        <v>12</v>
      </c>
      <c r="K70" s="663">
        <v>2.2</v>
      </c>
      <c r="L70" s="9"/>
      <c r="M70" s="10">
        <f>2272-1127</f>
        <v>1145</v>
      </c>
      <c r="N70" s="10">
        <f>9601-4831</f>
        <v>4770</v>
      </c>
      <c r="O70" s="10">
        <f t="shared" si="0"/>
        <v>5915</v>
      </c>
      <c r="P70" s="9"/>
      <c r="Q70" s="10">
        <f>2272-1127</f>
        <v>1145</v>
      </c>
      <c r="R70" s="10">
        <f>9601-4831</f>
        <v>4770</v>
      </c>
      <c r="S70" s="10">
        <f t="shared" si="1"/>
        <v>5915</v>
      </c>
      <c r="T70" s="9"/>
      <c r="U70" s="10">
        <f t="shared" si="2"/>
        <v>2290</v>
      </c>
      <c r="V70" s="10">
        <f t="shared" si="2"/>
        <v>9540</v>
      </c>
      <c r="W70" s="10">
        <f t="shared" si="3"/>
        <v>11830</v>
      </c>
    </row>
    <row r="71" spans="1:23" ht="30.75">
      <c r="A71" s="234" t="s">
        <v>7</v>
      </c>
      <c r="B71" s="5" t="s">
        <v>8</v>
      </c>
      <c r="C71" s="6" t="s">
        <v>137</v>
      </c>
      <c r="D71" s="6"/>
      <c r="E71" s="6">
        <v>91</v>
      </c>
      <c r="F71" s="6" t="s">
        <v>15</v>
      </c>
      <c r="G71" s="6" t="s">
        <v>16</v>
      </c>
      <c r="H71" s="327" t="s">
        <v>140</v>
      </c>
      <c r="I71" s="202">
        <v>83904968</v>
      </c>
      <c r="J71" s="7" t="s">
        <v>12</v>
      </c>
      <c r="K71" s="663">
        <v>2.2</v>
      </c>
      <c r="L71" s="9"/>
      <c r="M71" s="10">
        <f>883-436</f>
        <v>447</v>
      </c>
      <c r="N71" s="10">
        <f>3738-1852</f>
        <v>1886</v>
      </c>
      <c r="O71" s="10">
        <f t="shared" si="0"/>
        <v>2333</v>
      </c>
      <c r="P71" s="9"/>
      <c r="Q71" s="10">
        <f>883-436</f>
        <v>447</v>
      </c>
      <c r="R71" s="10">
        <f>3738-1852</f>
        <v>1886</v>
      </c>
      <c r="S71" s="10">
        <f t="shared" si="1"/>
        <v>2333</v>
      </c>
      <c r="T71" s="9"/>
      <c r="U71" s="10">
        <f t="shared" si="2"/>
        <v>894</v>
      </c>
      <c r="V71" s="10">
        <f t="shared" si="2"/>
        <v>3772</v>
      </c>
      <c r="W71" s="10">
        <f t="shared" si="3"/>
        <v>4666</v>
      </c>
    </row>
    <row r="72" spans="1:23" ht="30.75">
      <c r="A72" s="234" t="s">
        <v>7</v>
      </c>
      <c r="B72" s="5" t="s">
        <v>8</v>
      </c>
      <c r="C72" s="6" t="s">
        <v>16</v>
      </c>
      <c r="D72" s="6"/>
      <c r="E72" s="6"/>
      <c r="F72" s="6" t="s">
        <v>15</v>
      </c>
      <c r="G72" s="6" t="s">
        <v>16</v>
      </c>
      <c r="H72" s="327" t="s">
        <v>143</v>
      </c>
      <c r="I72" s="202">
        <v>83904351</v>
      </c>
      <c r="J72" s="7" t="s">
        <v>12</v>
      </c>
      <c r="K72" s="663">
        <v>2.2</v>
      </c>
      <c r="L72" s="9"/>
      <c r="M72" s="10">
        <f>1510-785</f>
        <v>725</v>
      </c>
      <c r="N72" s="10">
        <f>6525-3441</f>
        <v>3084</v>
      </c>
      <c r="O72" s="10">
        <f t="shared" si="0"/>
        <v>3809</v>
      </c>
      <c r="P72" s="9"/>
      <c r="Q72" s="10">
        <f>1510-785</f>
        <v>725</v>
      </c>
      <c r="R72" s="10">
        <f>6525-3441</f>
        <v>3084</v>
      </c>
      <c r="S72" s="10">
        <f t="shared" si="1"/>
        <v>3809</v>
      </c>
      <c r="T72" s="9"/>
      <c r="U72" s="10">
        <f t="shared" si="2"/>
        <v>1450</v>
      </c>
      <c r="V72" s="10">
        <f t="shared" si="2"/>
        <v>6168</v>
      </c>
      <c r="W72" s="10">
        <f t="shared" si="3"/>
        <v>7618</v>
      </c>
    </row>
    <row r="73" spans="1:23" ht="30.75">
      <c r="A73" s="234" t="s">
        <v>7</v>
      </c>
      <c r="B73" s="5" t="s">
        <v>8</v>
      </c>
      <c r="C73" s="6" t="s">
        <v>16</v>
      </c>
      <c r="D73" s="6" t="s">
        <v>144</v>
      </c>
      <c r="E73" s="6"/>
      <c r="F73" s="6" t="s">
        <v>15</v>
      </c>
      <c r="G73" s="6" t="s">
        <v>16</v>
      </c>
      <c r="H73" s="327" t="s">
        <v>145</v>
      </c>
      <c r="I73" s="202">
        <v>94313220</v>
      </c>
      <c r="J73" s="7" t="s">
        <v>12</v>
      </c>
      <c r="K73" s="663">
        <v>6.6</v>
      </c>
      <c r="L73" s="9"/>
      <c r="M73" s="10">
        <f>9341-4424</f>
        <v>4917</v>
      </c>
      <c r="N73" s="10">
        <f>41203-19322</f>
        <v>21881</v>
      </c>
      <c r="O73" s="10">
        <f t="shared" si="0"/>
        <v>26798</v>
      </c>
      <c r="P73" s="9"/>
      <c r="Q73" s="10">
        <f>9341-4424</f>
        <v>4917</v>
      </c>
      <c r="R73" s="10">
        <f>41203-19322</f>
        <v>21881</v>
      </c>
      <c r="S73" s="10">
        <f t="shared" si="1"/>
        <v>26798</v>
      </c>
      <c r="T73" s="9"/>
      <c r="U73" s="10">
        <f t="shared" si="2"/>
        <v>9834</v>
      </c>
      <c r="V73" s="10">
        <f t="shared" si="2"/>
        <v>43762</v>
      </c>
      <c r="W73" s="10">
        <f t="shared" si="3"/>
        <v>53596</v>
      </c>
    </row>
    <row r="74" spans="1:23" ht="30.75">
      <c r="A74" s="234" t="s">
        <v>7</v>
      </c>
      <c r="B74" s="5" t="s">
        <v>8</v>
      </c>
      <c r="C74" s="660" t="s">
        <v>16</v>
      </c>
      <c r="D74" s="6" t="s">
        <v>39</v>
      </c>
      <c r="E74" s="6">
        <v>16</v>
      </c>
      <c r="F74" s="6" t="s">
        <v>15</v>
      </c>
      <c r="G74" s="6" t="s">
        <v>16</v>
      </c>
      <c r="H74" s="327" t="s">
        <v>40</v>
      </c>
      <c r="I74" s="202">
        <v>83904350</v>
      </c>
      <c r="J74" s="7" t="s">
        <v>12</v>
      </c>
      <c r="K74" s="663">
        <v>2.5</v>
      </c>
      <c r="L74" s="9"/>
      <c r="M74" s="10">
        <f>5493-2980</f>
        <v>2513</v>
      </c>
      <c r="N74" s="10">
        <f>22606-12177</f>
        <v>10429</v>
      </c>
      <c r="O74" s="10">
        <f t="shared" si="0"/>
        <v>12942</v>
      </c>
      <c r="P74" s="9"/>
      <c r="Q74" s="10">
        <f>5493-2980</f>
        <v>2513</v>
      </c>
      <c r="R74" s="10">
        <f>22606-12177</f>
        <v>10429</v>
      </c>
      <c r="S74" s="10">
        <f t="shared" si="1"/>
        <v>12942</v>
      </c>
      <c r="T74" s="9"/>
      <c r="U74" s="10">
        <f t="shared" si="2"/>
        <v>5026</v>
      </c>
      <c r="V74" s="10">
        <f t="shared" si="2"/>
        <v>20858</v>
      </c>
      <c r="W74" s="10">
        <f t="shared" si="3"/>
        <v>25884</v>
      </c>
    </row>
    <row r="75" spans="1:23" ht="30.75">
      <c r="A75" s="234" t="s">
        <v>7</v>
      </c>
      <c r="B75" s="5" t="s">
        <v>8</v>
      </c>
      <c r="C75" s="660" t="s">
        <v>16</v>
      </c>
      <c r="D75" s="6" t="s">
        <v>41</v>
      </c>
      <c r="E75" s="6">
        <v>23</v>
      </c>
      <c r="F75" s="6" t="s">
        <v>15</v>
      </c>
      <c r="G75" s="6" t="s">
        <v>16</v>
      </c>
      <c r="H75" s="327" t="s">
        <v>42</v>
      </c>
      <c r="I75" s="202">
        <v>94348685</v>
      </c>
      <c r="J75" s="7" t="s">
        <v>12</v>
      </c>
      <c r="K75" s="663">
        <v>6.6</v>
      </c>
      <c r="L75" s="9"/>
      <c r="M75" s="10">
        <f>3851-1900</f>
        <v>1951</v>
      </c>
      <c r="N75" s="10">
        <f>15869-7348</f>
        <v>8521</v>
      </c>
      <c r="O75" s="10">
        <f t="shared" si="0"/>
        <v>10472</v>
      </c>
      <c r="P75" s="9"/>
      <c r="Q75" s="10">
        <f>3851-1900</f>
        <v>1951</v>
      </c>
      <c r="R75" s="10">
        <f>15869-7348</f>
        <v>8521</v>
      </c>
      <c r="S75" s="10">
        <f t="shared" si="1"/>
        <v>10472</v>
      </c>
      <c r="T75" s="9"/>
      <c r="U75" s="10">
        <f t="shared" si="2"/>
        <v>3902</v>
      </c>
      <c r="V75" s="10">
        <f t="shared" si="2"/>
        <v>17042</v>
      </c>
      <c r="W75" s="10">
        <f t="shared" si="3"/>
        <v>20944</v>
      </c>
    </row>
    <row r="76" spans="1:23" ht="30.75">
      <c r="A76" s="234" t="s">
        <v>7</v>
      </c>
      <c r="B76" s="5" t="s">
        <v>8</v>
      </c>
      <c r="C76" s="660" t="s">
        <v>16</v>
      </c>
      <c r="D76" s="6" t="s">
        <v>43</v>
      </c>
      <c r="E76" s="6">
        <v>100</v>
      </c>
      <c r="F76" s="6" t="s">
        <v>15</v>
      </c>
      <c r="G76" s="6" t="s">
        <v>16</v>
      </c>
      <c r="H76" s="327" t="s">
        <v>44</v>
      </c>
      <c r="I76" s="202">
        <v>83903883</v>
      </c>
      <c r="J76" s="7" t="s">
        <v>12</v>
      </c>
      <c r="K76" s="663">
        <v>2.2</v>
      </c>
      <c r="L76" s="9"/>
      <c r="M76" s="10">
        <f>1746-944</f>
        <v>802</v>
      </c>
      <c r="N76" s="10">
        <f>7430-3973</f>
        <v>3457</v>
      </c>
      <c r="O76" s="10">
        <f t="shared" si="0"/>
        <v>4259</v>
      </c>
      <c r="P76" s="9"/>
      <c r="Q76" s="10">
        <f>1746-944</f>
        <v>802</v>
      </c>
      <c r="R76" s="10">
        <f>7430-3973</f>
        <v>3457</v>
      </c>
      <c r="S76" s="10">
        <f t="shared" si="1"/>
        <v>4259</v>
      </c>
      <c r="T76" s="9"/>
      <c r="U76" s="10">
        <f t="shared" si="2"/>
        <v>1604</v>
      </c>
      <c r="V76" s="10">
        <f t="shared" si="2"/>
        <v>6914</v>
      </c>
      <c r="W76" s="10">
        <f t="shared" si="3"/>
        <v>8518</v>
      </c>
    </row>
    <row r="77" spans="1:23" ht="30.75">
      <c r="A77" s="234" t="s">
        <v>7</v>
      </c>
      <c r="B77" s="5" t="s">
        <v>8</v>
      </c>
      <c r="C77" s="660" t="s">
        <v>16</v>
      </c>
      <c r="D77" s="6" t="s">
        <v>43</v>
      </c>
      <c r="E77" s="6"/>
      <c r="F77" s="6" t="s">
        <v>15</v>
      </c>
      <c r="G77" s="6" t="s">
        <v>16</v>
      </c>
      <c r="H77" s="327" t="s">
        <v>45</v>
      </c>
      <c r="I77" s="202">
        <v>83904953</v>
      </c>
      <c r="J77" s="7" t="s">
        <v>12</v>
      </c>
      <c r="K77" s="663">
        <v>2.2</v>
      </c>
      <c r="L77" s="9"/>
      <c r="M77" s="10">
        <f>3082-2026</f>
        <v>1056</v>
      </c>
      <c r="N77" s="10">
        <f>14614-8746</f>
        <v>5868</v>
      </c>
      <c r="O77" s="10">
        <f t="shared" si="0"/>
        <v>6924</v>
      </c>
      <c r="P77" s="9"/>
      <c r="Q77" s="10">
        <f>3082-2026</f>
        <v>1056</v>
      </c>
      <c r="R77" s="10">
        <f>14614-8746</f>
        <v>5868</v>
      </c>
      <c r="S77" s="10">
        <f t="shared" si="1"/>
        <v>6924</v>
      </c>
      <c r="T77" s="9"/>
      <c r="U77" s="10">
        <f t="shared" si="2"/>
        <v>2112</v>
      </c>
      <c r="V77" s="10">
        <f t="shared" si="2"/>
        <v>11736</v>
      </c>
      <c r="W77" s="10">
        <f t="shared" si="3"/>
        <v>13848</v>
      </c>
    </row>
    <row r="78" spans="1:23" ht="30.75">
      <c r="A78" s="234" t="s">
        <v>7</v>
      </c>
      <c r="B78" s="5" t="s">
        <v>8</v>
      </c>
      <c r="C78" s="660" t="s">
        <v>16</v>
      </c>
      <c r="D78" s="6" t="s">
        <v>46</v>
      </c>
      <c r="E78" s="6">
        <v>94</v>
      </c>
      <c r="F78" s="6" t="s">
        <v>15</v>
      </c>
      <c r="G78" s="6" t="s">
        <v>16</v>
      </c>
      <c r="H78" s="327" t="s">
        <v>47</v>
      </c>
      <c r="I78" s="202">
        <v>83903897</v>
      </c>
      <c r="J78" s="7" t="s">
        <v>12</v>
      </c>
      <c r="K78" s="663">
        <v>1.1</v>
      </c>
      <c r="L78" s="9"/>
      <c r="M78" s="10">
        <f>2438-1859</f>
        <v>579</v>
      </c>
      <c r="N78" s="10">
        <f>11831-7923</f>
        <v>3908</v>
      </c>
      <c r="O78" s="10">
        <f t="shared" si="0"/>
        <v>4487</v>
      </c>
      <c r="P78" s="9"/>
      <c r="Q78" s="10">
        <f>2438-1859</f>
        <v>579</v>
      </c>
      <c r="R78" s="10">
        <f>11831-7923</f>
        <v>3908</v>
      </c>
      <c r="S78" s="10">
        <f t="shared" si="1"/>
        <v>4487</v>
      </c>
      <c r="T78" s="9"/>
      <c r="U78" s="10">
        <f t="shared" si="2"/>
        <v>1158</v>
      </c>
      <c r="V78" s="10">
        <f t="shared" si="2"/>
        <v>7816</v>
      </c>
      <c r="W78" s="10">
        <f t="shared" si="3"/>
        <v>8974</v>
      </c>
    </row>
    <row r="79" spans="1:23" ht="30.75">
      <c r="A79" s="234" t="s">
        <v>7</v>
      </c>
      <c r="B79" s="5" t="s">
        <v>8</v>
      </c>
      <c r="C79" s="660" t="s">
        <v>16</v>
      </c>
      <c r="D79" s="6" t="s">
        <v>43</v>
      </c>
      <c r="E79" s="6">
        <v>17</v>
      </c>
      <c r="F79" s="6" t="s">
        <v>15</v>
      </c>
      <c r="G79" s="6" t="s">
        <v>16</v>
      </c>
      <c r="H79" s="327" t="s">
        <v>51</v>
      </c>
      <c r="I79" s="202">
        <v>94313173</v>
      </c>
      <c r="J79" s="7" t="s">
        <v>12</v>
      </c>
      <c r="K79" s="663">
        <v>6.6</v>
      </c>
      <c r="L79" s="9"/>
      <c r="M79" s="10">
        <f>3823-2246</f>
        <v>1577</v>
      </c>
      <c r="N79" s="10">
        <f>16623-8649</f>
        <v>7974</v>
      </c>
      <c r="O79" s="10">
        <f t="shared" si="0"/>
        <v>9551</v>
      </c>
      <c r="P79" s="9"/>
      <c r="Q79" s="10">
        <f>3823-2246</f>
        <v>1577</v>
      </c>
      <c r="R79" s="10">
        <f>16623-8649</f>
        <v>7974</v>
      </c>
      <c r="S79" s="10">
        <f t="shared" si="1"/>
        <v>9551</v>
      </c>
      <c r="T79" s="9"/>
      <c r="U79" s="10">
        <f t="shared" si="2"/>
        <v>3154</v>
      </c>
      <c r="V79" s="10">
        <f t="shared" si="2"/>
        <v>15948</v>
      </c>
      <c r="W79" s="10">
        <f t="shared" si="3"/>
        <v>19102</v>
      </c>
    </row>
    <row r="80" spans="1:23" ht="30.75">
      <c r="A80" s="234" t="s">
        <v>7</v>
      </c>
      <c r="B80" s="5" t="s">
        <v>8</v>
      </c>
      <c r="C80" s="660" t="s">
        <v>16</v>
      </c>
      <c r="D80" s="6" t="s">
        <v>52</v>
      </c>
      <c r="E80" s="6"/>
      <c r="F80" s="6" t="s">
        <v>15</v>
      </c>
      <c r="G80" s="6" t="s">
        <v>16</v>
      </c>
      <c r="H80" s="327" t="s">
        <v>53</v>
      </c>
      <c r="I80" s="202">
        <v>94313172</v>
      </c>
      <c r="J80" s="7" t="s">
        <v>12</v>
      </c>
      <c r="K80" s="663">
        <v>6.6</v>
      </c>
      <c r="L80" s="9"/>
      <c r="M80" s="10">
        <f>5399-2622</f>
        <v>2777</v>
      </c>
      <c r="N80" s="10">
        <f>22151-10487</f>
        <v>11664</v>
      </c>
      <c r="O80" s="10">
        <f t="shared" si="0"/>
        <v>14441</v>
      </c>
      <c r="P80" s="9"/>
      <c r="Q80" s="10">
        <f>5399-2622</f>
        <v>2777</v>
      </c>
      <c r="R80" s="10">
        <f>22151-10487</f>
        <v>11664</v>
      </c>
      <c r="S80" s="10">
        <f t="shared" si="1"/>
        <v>14441</v>
      </c>
      <c r="T80" s="9"/>
      <c r="U80" s="10">
        <f t="shared" si="2"/>
        <v>5554</v>
      </c>
      <c r="V80" s="10">
        <f t="shared" si="2"/>
        <v>23328</v>
      </c>
      <c r="W80" s="10">
        <f t="shared" si="3"/>
        <v>28882</v>
      </c>
    </row>
    <row r="81" spans="1:23" ht="30.75">
      <c r="A81" s="234" t="s">
        <v>7</v>
      </c>
      <c r="B81" s="5" t="s">
        <v>8</v>
      </c>
      <c r="C81" s="660" t="s">
        <v>16</v>
      </c>
      <c r="D81" s="6" t="s">
        <v>46</v>
      </c>
      <c r="E81" s="6" t="s">
        <v>1506</v>
      </c>
      <c r="F81" s="6" t="s">
        <v>15</v>
      </c>
      <c r="G81" s="6" t="s">
        <v>16</v>
      </c>
      <c r="H81" s="327" t="s">
        <v>56</v>
      </c>
      <c r="I81" s="202">
        <v>94313193</v>
      </c>
      <c r="J81" s="7" t="s">
        <v>12</v>
      </c>
      <c r="K81" s="663">
        <v>6.6</v>
      </c>
      <c r="L81" s="9"/>
      <c r="M81" s="10">
        <f>14689-7899</f>
        <v>6790</v>
      </c>
      <c r="N81" s="10">
        <f>59130-31108</f>
        <v>28022</v>
      </c>
      <c r="O81" s="10">
        <f t="shared" si="0"/>
        <v>34812</v>
      </c>
      <c r="P81" s="9"/>
      <c r="Q81" s="10">
        <f>14689-7899</f>
        <v>6790</v>
      </c>
      <c r="R81" s="10">
        <f>59130-31108</f>
        <v>28022</v>
      </c>
      <c r="S81" s="10">
        <f t="shared" si="1"/>
        <v>34812</v>
      </c>
      <c r="T81" s="9"/>
      <c r="U81" s="10">
        <f t="shared" si="2"/>
        <v>13580</v>
      </c>
      <c r="V81" s="10">
        <f t="shared" si="2"/>
        <v>56044</v>
      </c>
      <c r="W81" s="10">
        <f t="shared" si="3"/>
        <v>69624</v>
      </c>
    </row>
    <row r="82" spans="1:23" ht="30.75">
      <c r="A82" s="234" t="s">
        <v>7</v>
      </c>
      <c r="B82" s="5" t="s">
        <v>8</v>
      </c>
      <c r="C82" s="660" t="s">
        <v>16</v>
      </c>
      <c r="D82" s="6" t="s">
        <v>57</v>
      </c>
      <c r="E82" s="6">
        <v>33</v>
      </c>
      <c r="F82" s="6" t="s">
        <v>15</v>
      </c>
      <c r="G82" s="6" t="s">
        <v>16</v>
      </c>
      <c r="H82" s="327" t="s">
        <v>58</v>
      </c>
      <c r="I82" s="202">
        <v>83953631</v>
      </c>
      <c r="J82" s="7" t="s">
        <v>12</v>
      </c>
      <c r="K82" s="663">
        <v>2.5</v>
      </c>
      <c r="L82" s="9"/>
      <c r="M82" s="10">
        <f>6543-5453</f>
        <v>1090</v>
      </c>
      <c r="N82" s="10">
        <f>14061-9494</f>
        <v>4567</v>
      </c>
      <c r="O82" s="10">
        <f t="shared" si="0"/>
        <v>5657</v>
      </c>
      <c r="P82" s="9"/>
      <c r="Q82" s="10">
        <f>6543-5453</f>
        <v>1090</v>
      </c>
      <c r="R82" s="10">
        <f>14061-9494</f>
        <v>4567</v>
      </c>
      <c r="S82" s="10">
        <f t="shared" si="1"/>
        <v>5657</v>
      </c>
      <c r="T82" s="9"/>
      <c r="U82" s="10">
        <f t="shared" si="2"/>
        <v>2180</v>
      </c>
      <c r="V82" s="10">
        <f t="shared" si="2"/>
        <v>9134</v>
      </c>
      <c r="W82" s="10">
        <f t="shared" si="3"/>
        <v>11314</v>
      </c>
    </row>
    <row r="83" spans="1:23" ht="30.75">
      <c r="A83" s="234" t="s">
        <v>7</v>
      </c>
      <c r="B83" s="5" t="s">
        <v>8</v>
      </c>
      <c r="C83" s="660" t="s">
        <v>16</v>
      </c>
      <c r="D83" s="6" t="s">
        <v>59</v>
      </c>
      <c r="E83" s="6" t="s">
        <v>141</v>
      </c>
      <c r="F83" s="6" t="s">
        <v>15</v>
      </c>
      <c r="G83" s="6" t="s">
        <v>16</v>
      </c>
      <c r="H83" s="327" t="s">
        <v>60</v>
      </c>
      <c r="I83" s="202">
        <v>83904324</v>
      </c>
      <c r="J83" s="7" t="s">
        <v>12</v>
      </c>
      <c r="K83" s="663">
        <v>2.2</v>
      </c>
      <c r="L83" s="9"/>
      <c r="M83" s="10">
        <f>3293-1732</f>
        <v>1561</v>
      </c>
      <c r="N83" s="10">
        <f>14297-7436</f>
        <v>6861</v>
      </c>
      <c r="O83" s="10">
        <f t="shared" si="0"/>
        <v>8422</v>
      </c>
      <c r="P83" s="9"/>
      <c r="Q83" s="10">
        <f>3293-1732</f>
        <v>1561</v>
      </c>
      <c r="R83" s="10">
        <f>14297-7436</f>
        <v>6861</v>
      </c>
      <c r="S83" s="10">
        <f t="shared" si="1"/>
        <v>8422</v>
      </c>
      <c r="T83" s="9"/>
      <c r="U83" s="10">
        <f t="shared" si="2"/>
        <v>3122</v>
      </c>
      <c r="V83" s="10">
        <f t="shared" si="2"/>
        <v>13722</v>
      </c>
      <c r="W83" s="10">
        <f t="shared" si="3"/>
        <v>16844</v>
      </c>
    </row>
    <row r="84" spans="1:23" ht="30.75">
      <c r="A84" s="234" t="s">
        <v>7</v>
      </c>
      <c r="B84" s="5" t="s">
        <v>8</v>
      </c>
      <c r="C84" s="660" t="s">
        <v>16</v>
      </c>
      <c r="D84" s="6" t="s">
        <v>61</v>
      </c>
      <c r="E84" s="6"/>
      <c r="F84" s="6" t="s">
        <v>15</v>
      </c>
      <c r="G84" s="6" t="s">
        <v>16</v>
      </c>
      <c r="H84" s="327" t="s">
        <v>62</v>
      </c>
      <c r="I84" s="202">
        <v>83908587</v>
      </c>
      <c r="J84" s="7" t="s">
        <v>12</v>
      </c>
      <c r="K84" s="663">
        <v>2.2</v>
      </c>
      <c r="L84" s="9"/>
      <c r="M84" s="10">
        <f>2798-1486</f>
        <v>1312</v>
      </c>
      <c r="N84" s="10">
        <f>11968-6343</f>
        <v>5625</v>
      </c>
      <c r="O84" s="10">
        <f t="shared" si="0"/>
        <v>6937</v>
      </c>
      <c r="P84" s="9"/>
      <c r="Q84" s="10">
        <f>2798-1486</f>
        <v>1312</v>
      </c>
      <c r="R84" s="10">
        <f>11968-6343</f>
        <v>5625</v>
      </c>
      <c r="S84" s="10">
        <f t="shared" si="1"/>
        <v>6937</v>
      </c>
      <c r="T84" s="9"/>
      <c r="U84" s="10">
        <f t="shared" si="2"/>
        <v>2624</v>
      </c>
      <c r="V84" s="10">
        <f t="shared" si="2"/>
        <v>11250</v>
      </c>
      <c r="W84" s="10">
        <f t="shared" si="3"/>
        <v>13874</v>
      </c>
    </row>
    <row r="85" spans="1:23" ht="30.75">
      <c r="A85" s="234" t="s">
        <v>7</v>
      </c>
      <c r="B85" s="5" t="s">
        <v>8</v>
      </c>
      <c r="C85" s="660" t="s">
        <v>16</v>
      </c>
      <c r="D85" s="6" t="s">
        <v>2110</v>
      </c>
      <c r="E85" s="6"/>
      <c r="F85" s="6" t="s">
        <v>15</v>
      </c>
      <c r="G85" s="6" t="s">
        <v>16</v>
      </c>
      <c r="H85" s="327" t="s">
        <v>63</v>
      </c>
      <c r="I85" s="202">
        <v>83902669</v>
      </c>
      <c r="J85" s="7" t="s">
        <v>12</v>
      </c>
      <c r="K85" s="663">
        <v>2.2</v>
      </c>
      <c r="L85" s="9"/>
      <c r="M85" s="10">
        <f>2200-1152</f>
        <v>1048</v>
      </c>
      <c r="N85" s="10">
        <f>9256-4893</f>
        <v>4363</v>
      </c>
      <c r="O85" s="10">
        <f t="shared" si="0"/>
        <v>5411</v>
      </c>
      <c r="P85" s="9"/>
      <c r="Q85" s="10">
        <f>2200-1152</f>
        <v>1048</v>
      </c>
      <c r="R85" s="10">
        <f>9256-4893</f>
        <v>4363</v>
      </c>
      <c r="S85" s="10">
        <f t="shared" si="1"/>
        <v>5411</v>
      </c>
      <c r="T85" s="9"/>
      <c r="U85" s="10">
        <f t="shared" si="2"/>
        <v>2096</v>
      </c>
      <c r="V85" s="10">
        <f t="shared" si="2"/>
        <v>8726</v>
      </c>
      <c r="W85" s="10">
        <f t="shared" si="3"/>
        <v>10822</v>
      </c>
    </row>
    <row r="86" spans="1:23" ht="30.75">
      <c r="A86" s="234" t="s">
        <v>7</v>
      </c>
      <c r="B86" s="5" t="s">
        <v>8</v>
      </c>
      <c r="C86" s="660" t="s">
        <v>16</v>
      </c>
      <c r="D86" s="6" t="s">
        <v>64</v>
      </c>
      <c r="E86" s="6">
        <v>3</v>
      </c>
      <c r="F86" s="6" t="s">
        <v>15</v>
      </c>
      <c r="G86" s="6" t="s">
        <v>16</v>
      </c>
      <c r="H86" s="327" t="s">
        <v>65</v>
      </c>
      <c r="I86" s="202">
        <v>89082665</v>
      </c>
      <c r="J86" s="7" t="s">
        <v>12</v>
      </c>
      <c r="K86" s="663">
        <v>4</v>
      </c>
      <c r="L86" s="9"/>
      <c r="M86" s="10">
        <f>3991-2177</f>
        <v>1814</v>
      </c>
      <c r="N86" s="10">
        <f>16003-8815</f>
        <v>7188</v>
      </c>
      <c r="O86" s="10">
        <f aca="true" t="shared" si="4" ref="O86:O108">SUM(M86:N86)</f>
        <v>9002</v>
      </c>
      <c r="P86" s="9"/>
      <c r="Q86" s="10">
        <f>3991-2177</f>
        <v>1814</v>
      </c>
      <c r="R86" s="10">
        <f>16003-8815</f>
        <v>7188</v>
      </c>
      <c r="S86" s="10">
        <f aca="true" t="shared" si="5" ref="S86:S108">SUM(Q86:R86)</f>
        <v>9002</v>
      </c>
      <c r="T86" s="9"/>
      <c r="U86" s="10">
        <f aca="true" t="shared" si="6" ref="U86:V108">M86+Q86</f>
        <v>3628</v>
      </c>
      <c r="V86" s="10">
        <f t="shared" si="6"/>
        <v>14376</v>
      </c>
      <c r="W86" s="10">
        <f aca="true" t="shared" si="7" ref="W86:W108">SUM(U86:V86)</f>
        <v>18004</v>
      </c>
    </row>
    <row r="87" spans="1:23" ht="30.75">
      <c r="A87" s="234" t="s">
        <v>7</v>
      </c>
      <c r="B87" s="5" t="s">
        <v>8</v>
      </c>
      <c r="C87" s="632" t="s">
        <v>16</v>
      </c>
      <c r="D87" s="6" t="s">
        <v>64</v>
      </c>
      <c r="E87" s="6">
        <v>2</v>
      </c>
      <c r="F87" s="6" t="s">
        <v>15</v>
      </c>
      <c r="G87" s="6" t="s">
        <v>16</v>
      </c>
      <c r="H87" s="327" t="s">
        <v>66</v>
      </c>
      <c r="I87" s="202">
        <v>96009237</v>
      </c>
      <c r="J87" s="7" t="s">
        <v>12</v>
      </c>
      <c r="K87" s="663">
        <v>6.6</v>
      </c>
      <c r="L87" s="9"/>
      <c r="M87" s="10">
        <f>1974-15</f>
        <v>1959</v>
      </c>
      <c r="N87" s="10">
        <f>8559-105</f>
        <v>8454</v>
      </c>
      <c r="O87" s="10">
        <f t="shared" si="4"/>
        <v>10413</v>
      </c>
      <c r="P87" s="9"/>
      <c r="Q87" s="10">
        <f>1974-15</f>
        <v>1959</v>
      </c>
      <c r="R87" s="10">
        <f>8559-105</f>
        <v>8454</v>
      </c>
      <c r="S87" s="10">
        <f t="shared" si="5"/>
        <v>10413</v>
      </c>
      <c r="T87" s="9"/>
      <c r="U87" s="10">
        <f t="shared" si="6"/>
        <v>3918</v>
      </c>
      <c r="V87" s="10">
        <f t="shared" si="6"/>
        <v>16908</v>
      </c>
      <c r="W87" s="10">
        <f t="shared" si="7"/>
        <v>20826</v>
      </c>
    </row>
    <row r="88" spans="1:23" ht="30.75">
      <c r="A88" s="234" t="s">
        <v>7</v>
      </c>
      <c r="B88" s="5" t="s">
        <v>8</v>
      </c>
      <c r="C88" s="634" t="s">
        <v>16</v>
      </c>
      <c r="D88" s="6" t="s">
        <v>70</v>
      </c>
      <c r="E88" s="6">
        <v>47</v>
      </c>
      <c r="F88" s="6" t="s">
        <v>15</v>
      </c>
      <c r="G88" s="6" t="s">
        <v>16</v>
      </c>
      <c r="H88" s="327" t="s">
        <v>71</v>
      </c>
      <c r="I88" s="202">
        <v>83908856</v>
      </c>
      <c r="J88" s="7" t="s">
        <v>12</v>
      </c>
      <c r="K88" s="663">
        <v>2.2</v>
      </c>
      <c r="L88" s="9"/>
      <c r="M88" s="10">
        <f>1825-1296</f>
        <v>529</v>
      </c>
      <c r="N88" s="10">
        <f>8449-5473</f>
        <v>2976</v>
      </c>
      <c r="O88" s="10">
        <f t="shared" si="4"/>
        <v>3505</v>
      </c>
      <c r="P88" s="9"/>
      <c r="Q88" s="10">
        <f>1825-1296</f>
        <v>529</v>
      </c>
      <c r="R88" s="10">
        <f>8449-5473</f>
        <v>2976</v>
      </c>
      <c r="S88" s="10">
        <f t="shared" si="5"/>
        <v>3505</v>
      </c>
      <c r="T88" s="9"/>
      <c r="U88" s="10">
        <f t="shared" si="6"/>
        <v>1058</v>
      </c>
      <c r="V88" s="10">
        <f t="shared" si="6"/>
        <v>5952</v>
      </c>
      <c r="W88" s="10">
        <f t="shared" si="7"/>
        <v>7010</v>
      </c>
    </row>
    <row r="89" spans="1:23" ht="30.75">
      <c r="A89" s="234" t="s">
        <v>7</v>
      </c>
      <c r="B89" s="5" t="s">
        <v>8</v>
      </c>
      <c r="C89" s="632" t="s">
        <v>16</v>
      </c>
      <c r="D89" s="6" t="s">
        <v>72</v>
      </c>
      <c r="E89" s="6"/>
      <c r="F89" s="6" t="s">
        <v>15</v>
      </c>
      <c r="G89" s="6" t="s">
        <v>16</v>
      </c>
      <c r="H89" s="327" t="s">
        <v>73</v>
      </c>
      <c r="I89" s="202">
        <v>83904310</v>
      </c>
      <c r="J89" s="7" t="s">
        <v>12</v>
      </c>
      <c r="K89" s="663">
        <v>0.9</v>
      </c>
      <c r="L89" s="9"/>
      <c r="M89" s="10">
        <f>6573-3901</f>
        <v>2672</v>
      </c>
      <c r="N89" s="10">
        <f>29772-16649</f>
        <v>13123</v>
      </c>
      <c r="O89" s="10">
        <f t="shared" si="4"/>
        <v>15795</v>
      </c>
      <c r="P89" s="9"/>
      <c r="Q89" s="10">
        <f>6573-3901</f>
        <v>2672</v>
      </c>
      <c r="R89" s="10">
        <f>29772-16649</f>
        <v>13123</v>
      </c>
      <c r="S89" s="10">
        <f t="shared" si="5"/>
        <v>15795</v>
      </c>
      <c r="T89" s="9"/>
      <c r="U89" s="10">
        <f t="shared" si="6"/>
        <v>5344</v>
      </c>
      <c r="V89" s="10">
        <f t="shared" si="6"/>
        <v>26246</v>
      </c>
      <c r="W89" s="10">
        <f t="shared" si="7"/>
        <v>31590</v>
      </c>
    </row>
    <row r="90" spans="1:23" ht="30.75">
      <c r="A90" s="234" t="s">
        <v>7</v>
      </c>
      <c r="B90" s="5" t="s">
        <v>8</v>
      </c>
      <c r="C90" s="632" t="s">
        <v>16</v>
      </c>
      <c r="D90" s="6" t="s">
        <v>74</v>
      </c>
      <c r="E90" s="6">
        <v>6</v>
      </c>
      <c r="F90" s="6" t="s">
        <v>15</v>
      </c>
      <c r="G90" s="6" t="s">
        <v>16</v>
      </c>
      <c r="H90" s="327" t="s">
        <v>75</v>
      </c>
      <c r="I90" s="202">
        <v>92953329</v>
      </c>
      <c r="J90" s="7" t="s">
        <v>12</v>
      </c>
      <c r="K90" s="663">
        <v>2.2</v>
      </c>
      <c r="L90" s="9"/>
      <c r="M90" s="10">
        <f>11812-10417</f>
        <v>1395</v>
      </c>
      <c r="N90" s="10">
        <f>37239-32287</f>
        <v>4952</v>
      </c>
      <c r="O90" s="10">
        <f t="shared" si="4"/>
        <v>6347</v>
      </c>
      <c r="P90" s="9"/>
      <c r="Q90" s="10">
        <f>11812-10417</f>
        <v>1395</v>
      </c>
      <c r="R90" s="10">
        <f>37239-32287</f>
        <v>4952</v>
      </c>
      <c r="S90" s="10">
        <f t="shared" si="5"/>
        <v>6347</v>
      </c>
      <c r="T90" s="9"/>
      <c r="U90" s="10">
        <f t="shared" si="6"/>
        <v>2790</v>
      </c>
      <c r="V90" s="10">
        <f t="shared" si="6"/>
        <v>9904</v>
      </c>
      <c r="W90" s="10">
        <f t="shared" si="7"/>
        <v>12694</v>
      </c>
    </row>
    <row r="91" spans="1:23" ht="30.75">
      <c r="A91" s="234" t="s">
        <v>7</v>
      </c>
      <c r="B91" s="5" t="s">
        <v>8</v>
      </c>
      <c r="C91" s="632" t="s">
        <v>16</v>
      </c>
      <c r="D91" s="6" t="s">
        <v>76</v>
      </c>
      <c r="E91" s="6">
        <v>21</v>
      </c>
      <c r="F91" s="6" t="s">
        <v>15</v>
      </c>
      <c r="G91" s="6" t="s">
        <v>16</v>
      </c>
      <c r="H91" s="327" t="s">
        <v>77</v>
      </c>
      <c r="I91" s="202">
        <v>83904474</v>
      </c>
      <c r="J91" s="7" t="s">
        <v>12</v>
      </c>
      <c r="K91" s="663">
        <v>3</v>
      </c>
      <c r="L91" s="9"/>
      <c r="M91" s="10">
        <f>6211-3330</f>
        <v>2881</v>
      </c>
      <c r="N91" s="10">
        <f>25924-13729</f>
        <v>12195</v>
      </c>
      <c r="O91" s="10">
        <f t="shared" si="4"/>
        <v>15076</v>
      </c>
      <c r="P91" s="9"/>
      <c r="Q91" s="10">
        <f>6211-3330</f>
        <v>2881</v>
      </c>
      <c r="R91" s="10">
        <f>25924-13729</f>
        <v>12195</v>
      </c>
      <c r="S91" s="10">
        <f t="shared" si="5"/>
        <v>15076</v>
      </c>
      <c r="T91" s="9"/>
      <c r="U91" s="10">
        <f t="shared" si="6"/>
        <v>5762</v>
      </c>
      <c r="V91" s="10">
        <f t="shared" si="6"/>
        <v>24390</v>
      </c>
      <c r="W91" s="10">
        <f t="shared" si="7"/>
        <v>30152</v>
      </c>
    </row>
    <row r="92" spans="1:23" ht="30.75">
      <c r="A92" s="234" t="s">
        <v>7</v>
      </c>
      <c r="B92" s="5" t="s">
        <v>8</v>
      </c>
      <c r="C92" s="632" t="s">
        <v>16</v>
      </c>
      <c r="D92" s="6" t="s">
        <v>78</v>
      </c>
      <c r="E92" s="6">
        <v>60</v>
      </c>
      <c r="F92" s="6" t="s">
        <v>15</v>
      </c>
      <c r="G92" s="6" t="s">
        <v>16</v>
      </c>
      <c r="H92" s="327" t="s">
        <v>79</v>
      </c>
      <c r="I92" s="202">
        <v>83904484</v>
      </c>
      <c r="J92" s="7" t="s">
        <v>12</v>
      </c>
      <c r="K92" s="663">
        <v>3.5</v>
      </c>
      <c r="L92" s="9"/>
      <c r="M92" s="10">
        <f>3455-1861</f>
        <v>1594</v>
      </c>
      <c r="N92" s="10">
        <f>15192-8058</f>
        <v>7134</v>
      </c>
      <c r="O92" s="10">
        <f t="shared" si="4"/>
        <v>8728</v>
      </c>
      <c r="P92" s="9"/>
      <c r="Q92" s="10">
        <f>3455-1861</f>
        <v>1594</v>
      </c>
      <c r="R92" s="10">
        <f>15192-8058</f>
        <v>7134</v>
      </c>
      <c r="S92" s="10">
        <f t="shared" si="5"/>
        <v>8728</v>
      </c>
      <c r="T92" s="9"/>
      <c r="U92" s="10">
        <f t="shared" si="6"/>
        <v>3188</v>
      </c>
      <c r="V92" s="10">
        <f t="shared" si="6"/>
        <v>14268</v>
      </c>
      <c r="W92" s="10">
        <f t="shared" si="7"/>
        <v>17456</v>
      </c>
    </row>
    <row r="93" spans="1:23" ht="30.75">
      <c r="A93" s="234" t="s">
        <v>7</v>
      </c>
      <c r="B93" s="5" t="s">
        <v>8</v>
      </c>
      <c r="C93" s="632" t="s">
        <v>16</v>
      </c>
      <c r="D93" s="6" t="s">
        <v>80</v>
      </c>
      <c r="E93" s="6">
        <v>15</v>
      </c>
      <c r="F93" s="6" t="s">
        <v>15</v>
      </c>
      <c r="G93" s="6" t="s">
        <v>16</v>
      </c>
      <c r="H93" s="327" t="s">
        <v>81</v>
      </c>
      <c r="I93" s="202">
        <v>83904455</v>
      </c>
      <c r="J93" s="7" t="s">
        <v>12</v>
      </c>
      <c r="K93" s="663">
        <v>2.5</v>
      </c>
      <c r="L93" s="9"/>
      <c r="M93" s="10">
        <f>4737-2555</f>
        <v>2182</v>
      </c>
      <c r="N93" s="10">
        <f>20584-10843</f>
        <v>9741</v>
      </c>
      <c r="O93" s="10">
        <f t="shared" si="4"/>
        <v>11923</v>
      </c>
      <c r="P93" s="9"/>
      <c r="Q93" s="10">
        <f>4737-2555</f>
        <v>2182</v>
      </c>
      <c r="R93" s="10">
        <f>20584-10843</f>
        <v>9741</v>
      </c>
      <c r="S93" s="10">
        <f t="shared" si="5"/>
        <v>11923</v>
      </c>
      <c r="T93" s="9"/>
      <c r="U93" s="10">
        <f t="shared" si="6"/>
        <v>4364</v>
      </c>
      <c r="V93" s="10">
        <f t="shared" si="6"/>
        <v>19482</v>
      </c>
      <c r="W93" s="10">
        <f t="shared" si="7"/>
        <v>23846</v>
      </c>
    </row>
    <row r="94" spans="1:23" ht="30.75">
      <c r="A94" s="234" t="s">
        <v>7</v>
      </c>
      <c r="B94" s="5" t="s">
        <v>8</v>
      </c>
      <c r="C94" s="632" t="s">
        <v>16</v>
      </c>
      <c r="D94" s="6" t="s">
        <v>82</v>
      </c>
      <c r="E94" s="6">
        <v>9</v>
      </c>
      <c r="F94" s="6" t="s">
        <v>15</v>
      </c>
      <c r="G94" s="6" t="s">
        <v>16</v>
      </c>
      <c r="H94" s="327" t="s">
        <v>83</v>
      </c>
      <c r="I94" s="202">
        <v>83903893</v>
      </c>
      <c r="J94" s="7" t="s">
        <v>12</v>
      </c>
      <c r="K94" s="663">
        <v>2.5</v>
      </c>
      <c r="L94" s="9"/>
      <c r="M94" s="10">
        <f>1-1</f>
        <v>0</v>
      </c>
      <c r="N94" s="10">
        <f>1-1</f>
        <v>0</v>
      </c>
      <c r="O94" s="10">
        <f t="shared" si="4"/>
        <v>0</v>
      </c>
      <c r="P94" s="9"/>
      <c r="Q94" s="10">
        <f>1-1</f>
        <v>0</v>
      </c>
      <c r="R94" s="10">
        <f>1-1</f>
        <v>0</v>
      </c>
      <c r="S94" s="10">
        <f t="shared" si="5"/>
        <v>0</v>
      </c>
      <c r="T94" s="9"/>
      <c r="U94" s="10">
        <f t="shared" si="6"/>
        <v>0</v>
      </c>
      <c r="V94" s="10">
        <f t="shared" si="6"/>
        <v>0</v>
      </c>
      <c r="W94" s="10">
        <f t="shared" si="7"/>
        <v>0</v>
      </c>
    </row>
    <row r="95" spans="1:23" ht="30.75">
      <c r="A95" s="234" t="s">
        <v>7</v>
      </c>
      <c r="B95" s="5" t="s">
        <v>8</v>
      </c>
      <c r="C95" s="632" t="s">
        <v>16</v>
      </c>
      <c r="D95" s="6" t="s">
        <v>84</v>
      </c>
      <c r="E95" s="6">
        <v>2</v>
      </c>
      <c r="F95" s="6" t="s">
        <v>15</v>
      </c>
      <c r="G95" s="6" t="s">
        <v>16</v>
      </c>
      <c r="H95" s="327" t="s">
        <v>85</v>
      </c>
      <c r="I95" s="202">
        <v>83908018</v>
      </c>
      <c r="J95" s="7" t="s">
        <v>12</v>
      </c>
      <c r="K95" s="663">
        <v>4</v>
      </c>
      <c r="L95" s="9"/>
      <c r="M95" s="10">
        <f>7392-4577</f>
        <v>2815</v>
      </c>
      <c r="N95" s="10">
        <f>32653-19074</f>
        <v>13579</v>
      </c>
      <c r="O95" s="10">
        <f t="shared" si="4"/>
        <v>16394</v>
      </c>
      <c r="P95" s="9"/>
      <c r="Q95" s="10">
        <f>7392-4577</f>
        <v>2815</v>
      </c>
      <c r="R95" s="10">
        <f>32653-19074</f>
        <v>13579</v>
      </c>
      <c r="S95" s="10">
        <f t="shared" si="5"/>
        <v>16394</v>
      </c>
      <c r="T95" s="9"/>
      <c r="U95" s="10">
        <f t="shared" si="6"/>
        <v>5630</v>
      </c>
      <c r="V95" s="10">
        <f t="shared" si="6"/>
        <v>27158</v>
      </c>
      <c r="W95" s="10">
        <f t="shared" si="7"/>
        <v>32788</v>
      </c>
    </row>
    <row r="96" spans="1:23" ht="30.75">
      <c r="A96" s="234" t="s">
        <v>7</v>
      </c>
      <c r="B96" s="5" t="s">
        <v>8</v>
      </c>
      <c r="C96" s="632" t="s">
        <v>16</v>
      </c>
      <c r="D96" s="6" t="s">
        <v>86</v>
      </c>
      <c r="E96" s="6">
        <v>6</v>
      </c>
      <c r="F96" s="6" t="s">
        <v>15</v>
      </c>
      <c r="G96" s="6" t="s">
        <v>16</v>
      </c>
      <c r="H96" s="327" t="s">
        <v>87</v>
      </c>
      <c r="I96" s="202">
        <v>83900748</v>
      </c>
      <c r="J96" s="7" t="s">
        <v>12</v>
      </c>
      <c r="K96" s="663">
        <v>3.3</v>
      </c>
      <c r="L96" s="9"/>
      <c r="M96" s="10">
        <f>7315-3585</f>
        <v>3730</v>
      </c>
      <c r="N96" s="10">
        <f>27505-15199</f>
        <v>12306</v>
      </c>
      <c r="O96" s="10">
        <f t="shared" si="4"/>
        <v>16036</v>
      </c>
      <c r="P96" s="9"/>
      <c r="Q96" s="10">
        <f>7315-3585</f>
        <v>3730</v>
      </c>
      <c r="R96" s="10">
        <f>27505-15199</f>
        <v>12306</v>
      </c>
      <c r="S96" s="10">
        <f t="shared" si="5"/>
        <v>16036</v>
      </c>
      <c r="T96" s="9"/>
      <c r="U96" s="10">
        <f t="shared" si="6"/>
        <v>7460</v>
      </c>
      <c r="V96" s="10">
        <f t="shared" si="6"/>
        <v>24612</v>
      </c>
      <c r="W96" s="10">
        <f t="shared" si="7"/>
        <v>32072</v>
      </c>
    </row>
    <row r="97" spans="1:23" ht="30.75">
      <c r="A97" s="234" t="s">
        <v>7</v>
      </c>
      <c r="B97" s="5" t="s">
        <v>8</v>
      </c>
      <c r="C97" s="632" t="s">
        <v>16</v>
      </c>
      <c r="D97" s="6" t="s">
        <v>59</v>
      </c>
      <c r="E97" s="6" t="s">
        <v>671</v>
      </c>
      <c r="F97" s="6" t="s">
        <v>15</v>
      </c>
      <c r="G97" s="6" t="s">
        <v>16</v>
      </c>
      <c r="H97" s="327" t="s">
        <v>88</v>
      </c>
      <c r="I97" s="202">
        <v>96009231</v>
      </c>
      <c r="J97" s="7" t="s">
        <v>12</v>
      </c>
      <c r="K97" s="663">
        <v>3.3</v>
      </c>
      <c r="L97" s="9"/>
      <c r="M97" s="10">
        <f>2354-33</f>
        <v>2321</v>
      </c>
      <c r="N97" s="10">
        <f>12738-265</f>
        <v>12473</v>
      </c>
      <c r="O97" s="10">
        <f t="shared" si="4"/>
        <v>14794</v>
      </c>
      <c r="P97" s="9"/>
      <c r="Q97" s="10">
        <f>2354-33</f>
        <v>2321</v>
      </c>
      <c r="R97" s="10">
        <f>12738-265</f>
        <v>12473</v>
      </c>
      <c r="S97" s="10">
        <f t="shared" si="5"/>
        <v>14794</v>
      </c>
      <c r="T97" s="9"/>
      <c r="U97" s="10">
        <f t="shared" si="6"/>
        <v>4642</v>
      </c>
      <c r="V97" s="10">
        <f t="shared" si="6"/>
        <v>24946</v>
      </c>
      <c r="W97" s="10">
        <f t="shared" si="7"/>
        <v>29588</v>
      </c>
    </row>
    <row r="98" spans="1:23" ht="30.75">
      <c r="A98" s="234" t="s">
        <v>7</v>
      </c>
      <c r="B98" s="5" t="s">
        <v>8</v>
      </c>
      <c r="C98" s="632" t="s">
        <v>16</v>
      </c>
      <c r="D98" s="6" t="s">
        <v>89</v>
      </c>
      <c r="E98" s="6"/>
      <c r="F98" s="6" t="s">
        <v>15</v>
      </c>
      <c r="G98" s="6" t="s">
        <v>16</v>
      </c>
      <c r="H98" s="327" t="s">
        <v>90</v>
      </c>
      <c r="I98" s="202">
        <v>83558223</v>
      </c>
      <c r="J98" s="7" t="s">
        <v>12</v>
      </c>
      <c r="K98" s="663">
        <v>3.8</v>
      </c>
      <c r="L98" s="9"/>
      <c r="M98" s="10">
        <f>3385-1859</f>
        <v>1526</v>
      </c>
      <c r="N98" s="10">
        <f>14319-7713</f>
        <v>6606</v>
      </c>
      <c r="O98" s="10">
        <f t="shared" si="4"/>
        <v>8132</v>
      </c>
      <c r="P98" s="9"/>
      <c r="Q98" s="10">
        <f>3385-1859</f>
        <v>1526</v>
      </c>
      <c r="R98" s="10">
        <f>14319-7713</f>
        <v>6606</v>
      </c>
      <c r="S98" s="10">
        <f t="shared" si="5"/>
        <v>8132</v>
      </c>
      <c r="T98" s="9"/>
      <c r="U98" s="10">
        <f t="shared" si="6"/>
        <v>3052</v>
      </c>
      <c r="V98" s="10">
        <f t="shared" si="6"/>
        <v>13212</v>
      </c>
      <c r="W98" s="10">
        <f t="shared" si="7"/>
        <v>16264</v>
      </c>
    </row>
    <row r="99" spans="1:23" ht="30.75">
      <c r="A99" s="234" t="s">
        <v>7</v>
      </c>
      <c r="B99" s="5" t="s">
        <v>8</v>
      </c>
      <c r="C99" s="660" t="s">
        <v>16</v>
      </c>
      <c r="D99" s="6" t="s">
        <v>1471</v>
      </c>
      <c r="E99" s="6" t="s">
        <v>671</v>
      </c>
      <c r="F99" s="6" t="s">
        <v>15</v>
      </c>
      <c r="G99" s="6" t="s">
        <v>16</v>
      </c>
      <c r="H99" s="327" t="s">
        <v>91</v>
      </c>
      <c r="I99" s="202">
        <v>83907900</v>
      </c>
      <c r="J99" s="7" t="s">
        <v>12</v>
      </c>
      <c r="K99" s="663">
        <v>2.2</v>
      </c>
      <c r="L99" s="9"/>
      <c r="M99" s="10">
        <f>1044-553</f>
        <v>491</v>
      </c>
      <c r="N99" s="10">
        <f>4432-2301</f>
        <v>2131</v>
      </c>
      <c r="O99" s="10">
        <f t="shared" si="4"/>
        <v>2622</v>
      </c>
      <c r="P99" s="9"/>
      <c r="Q99" s="10">
        <f>1044-553</f>
        <v>491</v>
      </c>
      <c r="R99" s="10">
        <f>4432-2301</f>
        <v>2131</v>
      </c>
      <c r="S99" s="10">
        <f t="shared" si="5"/>
        <v>2622</v>
      </c>
      <c r="T99" s="9"/>
      <c r="U99" s="10">
        <f t="shared" si="6"/>
        <v>982</v>
      </c>
      <c r="V99" s="10">
        <f t="shared" si="6"/>
        <v>4262</v>
      </c>
      <c r="W99" s="10">
        <f t="shared" si="7"/>
        <v>5244</v>
      </c>
    </row>
    <row r="100" spans="1:23" ht="30.75">
      <c r="A100" s="234" t="s">
        <v>7</v>
      </c>
      <c r="B100" s="5" t="s">
        <v>8</v>
      </c>
      <c r="C100" s="6" t="s">
        <v>108</v>
      </c>
      <c r="D100" s="6"/>
      <c r="E100" s="6">
        <v>160</v>
      </c>
      <c r="F100" s="6" t="s">
        <v>15</v>
      </c>
      <c r="G100" s="6" t="s">
        <v>16</v>
      </c>
      <c r="H100" s="327" t="s">
        <v>109</v>
      </c>
      <c r="I100" s="202">
        <v>90695862</v>
      </c>
      <c r="J100" s="7" t="s">
        <v>12</v>
      </c>
      <c r="K100" s="663">
        <v>3.3</v>
      </c>
      <c r="L100" s="9"/>
      <c r="M100" s="10">
        <f>8630-6065</f>
        <v>2565</v>
      </c>
      <c r="N100" s="10">
        <f>21439-10424</f>
        <v>11015</v>
      </c>
      <c r="O100" s="10">
        <f t="shared" si="4"/>
        <v>13580</v>
      </c>
      <c r="P100" s="9"/>
      <c r="Q100" s="10">
        <f>8630-6065</f>
        <v>2565</v>
      </c>
      <c r="R100" s="10">
        <f>21439-10424</f>
        <v>11015</v>
      </c>
      <c r="S100" s="10">
        <f t="shared" si="5"/>
        <v>13580</v>
      </c>
      <c r="T100" s="9"/>
      <c r="U100" s="10">
        <f t="shared" si="6"/>
        <v>5130</v>
      </c>
      <c r="V100" s="10">
        <f t="shared" si="6"/>
        <v>22030</v>
      </c>
      <c r="W100" s="10">
        <f t="shared" si="7"/>
        <v>27160</v>
      </c>
    </row>
    <row r="101" spans="1:23" ht="30.75">
      <c r="A101" s="234" t="s">
        <v>7</v>
      </c>
      <c r="B101" s="5" t="s">
        <v>8</v>
      </c>
      <c r="C101" s="6" t="s">
        <v>108</v>
      </c>
      <c r="D101" s="6"/>
      <c r="E101" s="6">
        <v>90</v>
      </c>
      <c r="F101" s="6" t="s">
        <v>15</v>
      </c>
      <c r="G101" s="6" t="s">
        <v>16</v>
      </c>
      <c r="H101" s="327" t="s">
        <v>110</v>
      </c>
      <c r="I101" s="202">
        <v>94348382</v>
      </c>
      <c r="J101" s="7" t="s">
        <v>12</v>
      </c>
      <c r="K101" s="663">
        <v>2.9</v>
      </c>
      <c r="L101" s="9"/>
      <c r="M101" s="10">
        <f>3030-1483</f>
        <v>1547</v>
      </c>
      <c r="N101" s="10">
        <f>12975-6175</f>
        <v>6800</v>
      </c>
      <c r="O101" s="10">
        <f t="shared" si="4"/>
        <v>8347</v>
      </c>
      <c r="P101" s="9"/>
      <c r="Q101" s="10">
        <f>3030-1483</f>
        <v>1547</v>
      </c>
      <c r="R101" s="10">
        <f>12975-6175</f>
        <v>6800</v>
      </c>
      <c r="S101" s="10">
        <f t="shared" si="5"/>
        <v>8347</v>
      </c>
      <c r="T101" s="9"/>
      <c r="U101" s="10">
        <f t="shared" si="6"/>
        <v>3094</v>
      </c>
      <c r="V101" s="10">
        <f t="shared" si="6"/>
        <v>13600</v>
      </c>
      <c r="W101" s="10">
        <f t="shared" si="7"/>
        <v>16694</v>
      </c>
    </row>
    <row r="102" spans="1:23" ht="30.75">
      <c r="A102" s="234" t="s">
        <v>7</v>
      </c>
      <c r="B102" s="5" t="s">
        <v>8</v>
      </c>
      <c r="C102" s="6" t="s">
        <v>108</v>
      </c>
      <c r="D102" s="6"/>
      <c r="E102" s="6">
        <v>139</v>
      </c>
      <c r="F102" s="6" t="s">
        <v>15</v>
      </c>
      <c r="G102" s="6" t="s">
        <v>16</v>
      </c>
      <c r="H102" s="327" t="s">
        <v>111</v>
      </c>
      <c r="I102" s="202">
        <v>94348391</v>
      </c>
      <c r="J102" s="7" t="s">
        <v>12</v>
      </c>
      <c r="K102" s="663">
        <v>2.2</v>
      </c>
      <c r="L102" s="9"/>
      <c r="M102" s="10">
        <f>2640-1343</f>
        <v>1297</v>
      </c>
      <c r="N102" s="10">
        <f>11032-5329</f>
        <v>5703</v>
      </c>
      <c r="O102" s="10">
        <f t="shared" si="4"/>
        <v>7000</v>
      </c>
      <c r="P102" s="9"/>
      <c r="Q102" s="10">
        <f>2640-1343</f>
        <v>1297</v>
      </c>
      <c r="R102" s="10">
        <f>11032-5329</f>
        <v>5703</v>
      </c>
      <c r="S102" s="10">
        <f t="shared" si="5"/>
        <v>7000</v>
      </c>
      <c r="T102" s="9"/>
      <c r="U102" s="10">
        <f t="shared" si="6"/>
        <v>2594</v>
      </c>
      <c r="V102" s="10">
        <f t="shared" si="6"/>
        <v>11406</v>
      </c>
      <c r="W102" s="10">
        <f t="shared" si="7"/>
        <v>14000</v>
      </c>
    </row>
    <row r="103" spans="1:23" ht="30.75">
      <c r="A103" s="234" t="s">
        <v>7</v>
      </c>
      <c r="B103" s="5" t="s">
        <v>8</v>
      </c>
      <c r="C103" s="6" t="s">
        <v>108</v>
      </c>
      <c r="D103" s="6" t="s">
        <v>112</v>
      </c>
      <c r="E103" s="6">
        <v>90</v>
      </c>
      <c r="F103" s="6" t="s">
        <v>15</v>
      </c>
      <c r="G103" s="6" t="s">
        <v>16</v>
      </c>
      <c r="H103" s="327" t="s">
        <v>113</v>
      </c>
      <c r="I103" s="202">
        <v>94348394</v>
      </c>
      <c r="J103" s="7" t="s">
        <v>12</v>
      </c>
      <c r="K103" s="663">
        <v>2.3</v>
      </c>
      <c r="L103" s="9"/>
      <c r="M103" s="10">
        <f>5693-2134</f>
        <v>3559</v>
      </c>
      <c r="N103" s="10">
        <f>23570-8266</f>
        <v>15304</v>
      </c>
      <c r="O103" s="10">
        <f t="shared" si="4"/>
        <v>18863</v>
      </c>
      <c r="P103" s="9"/>
      <c r="Q103" s="10">
        <f>5693-2134</f>
        <v>3559</v>
      </c>
      <c r="R103" s="10">
        <f>23570-8266</f>
        <v>15304</v>
      </c>
      <c r="S103" s="10">
        <f t="shared" si="5"/>
        <v>18863</v>
      </c>
      <c r="T103" s="9"/>
      <c r="U103" s="10">
        <f t="shared" si="6"/>
        <v>7118</v>
      </c>
      <c r="V103" s="10">
        <f t="shared" si="6"/>
        <v>30608</v>
      </c>
      <c r="W103" s="10">
        <f t="shared" si="7"/>
        <v>37726</v>
      </c>
    </row>
    <row r="104" spans="1:23" ht="30.75">
      <c r="A104" s="234" t="s">
        <v>7</v>
      </c>
      <c r="B104" s="5" t="s">
        <v>8</v>
      </c>
      <c r="C104" s="6" t="s">
        <v>108</v>
      </c>
      <c r="D104" s="6"/>
      <c r="E104" s="6">
        <v>34</v>
      </c>
      <c r="F104" s="6" t="s">
        <v>15</v>
      </c>
      <c r="G104" s="6" t="s">
        <v>16</v>
      </c>
      <c r="H104" s="327" t="s">
        <v>114</v>
      </c>
      <c r="I104" s="202">
        <v>94313675</v>
      </c>
      <c r="J104" s="7" t="s">
        <v>12</v>
      </c>
      <c r="K104" s="663">
        <v>2.4</v>
      </c>
      <c r="L104" s="9"/>
      <c r="M104" s="10">
        <f>1622-1603</f>
        <v>19</v>
      </c>
      <c r="N104" s="10">
        <f>6573-6472</f>
        <v>101</v>
      </c>
      <c r="O104" s="10">
        <f t="shared" si="4"/>
        <v>120</v>
      </c>
      <c r="P104" s="9"/>
      <c r="Q104" s="10">
        <f>1622-1603</f>
        <v>19</v>
      </c>
      <c r="R104" s="10">
        <f>6573-6472</f>
        <v>101</v>
      </c>
      <c r="S104" s="10">
        <f t="shared" si="5"/>
        <v>120</v>
      </c>
      <c r="T104" s="9"/>
      <c r="U104" s="10">
        <f t="shared" si="6"/>
        <v>38</v>
      </c>
      <c r="V104" s="10">
        <f t="shared" si="6"/>
        <v>202</v>
      </c>
      <c r="W104" s="10">
        <f t="shared" si="7"/>
        <v>240</v>
      </c>
    </row>
    <row r="105" spans="1:23" ht="30.75">
      <c r="A105" s="234" t="s">
        <v>7</v>
      </c>
      <c r="B105" s="5" t="s">
        <v>8</v>
      </c>
      <c r="C105" s="633" t="s">
        <v>119</v>
      </c>
      <c r="D105" s="6" t="s">
        <v>1499</v>
      </c>
      <c r="E105" s="6"/>
      <c r="F105" s="6" t="s">
        <v>15</v>
      </c>
      <c r="G105" s="6" t="s">
        <v>16</v>
      </c>
      <c r="H105" s="327" t="s">
        <v>122</v>
      </c>
      <c r="I105" s="202">
        <v>89012533</v>
      </c>
      <c r="J105" s="7" t="s">
        <v>12</v>
      </c>
      <c r="K105" s="663">
        <v>2.2</v>
      </c>
      <c r="L105" s="9"/>
      <c r="M105" s="10">
        <f>347-82</f>
        <v>265</v>
      </c>
      <c r="N105" s="10">
        <f>1361-205</f>
        <v>1156</v>
      </c>
      <c r="O105" s="10">
        <f t="shared" si="4"/>
        <v>1421</v>
      </c>
      <c r="P105" s="9"/>
      <c r="Q105" s="10">
        <f>347-82</f>
        <v>265</v>
      </c>
      <c r="R105" s="10">
        <f>1361-205</f>
        <v>1156</v>
      </c>
      <c r="S105" s="10">
        <f t="shared" si="5"/>
        <v>1421</v>
      </c>
      <c r="T105" s="9"/>
      <c r="U105" s="10">
        <f t="shared" si="6"/>
        <v>530</v>
      </c>
      <c r="V105" s="10">
        <f t="shared" si="6"/>
        <v>2312</v>
      </c>
      <c r="W105" s="10">
        <f t="shared" si="7"/>
        <v>2842</v>
      </c>
    </row>
    <row r="106" spans="1:23" ht="30.75">
      <c r="A106" s="234" t="s">
        <v>7</v>
      </c>
      <c r="B106" s="5" t="s">
        <v>8</v>
      </c>
      <c r="C106" s="6" t="s">
        <v>14</v>
      </c>
      <c r="D106" s="6"/>
      <c r="E106" s="6"/>
      <c r="F106" s="6" t="s">
        <v>15</v>
      </c>
      <c r="G106" s="6" t="s">
        <v>16</v>
      </c>
      <c r="H106" s="349" t="s">
        <v>148</v>
      </c>
      <c r="I106" s="202">
        <v>83904994</v>
      </c>
      <c r="J106" s="7" t="s">
        <v>12</v>
      </c>
      <c r="K106" s="663">
        <v>0.5</v>
      </c>
      <c r="L106" s="11"/>
      <c r="M106" s="104">
        <f>803-415</f>
        <v>388</v>
      </c>
      <c r="N106" s="104">
        <f>3500-1768</f>
        <v>1732</v>
      </c>
      <c r="O106" s="10">
        <f t="shared" si="4"/>
        <v>2120</v>
      </c>
      <c r="P106" s="11"/>
      <c r="Q106" s="104">
        <f>803-415</f>
        <v>388</v>
      </c>
      <c r="R106" s="104">
        <f>3500-1768</f>
        <v>1732</v>
      </c>
      <c r="S106" s="10">
        <f t="shared" si="5"/>
        <v>2120</v>
      </c>
      <c r="T106" s="11"/>
      <c r="U106" s="10">
        <f t="shared" si="6"/>
        <v>776</v>
      </c>
      <c r="V106" s="10">
        <f t="shared" si="6"/>
        <v>3464</v>
      </c>
      <c r="W106" s="10">
        <f t="shared" si="7"/>
        <v>4240</v>
      </c>
    </row>
    <row r="107" spans="1:23" ht="30.75">
      <c r="A107" s="234" t="s">
        <v>7</v>
      </c>
      <c r="B107" s="5" t="s">
        <v>8</v>
      </c>
      <c r="C107" s="6" t="s">
        <v>16</v>
      </c>
      <c r="D107" s="6"/>
      <c r="E107" s="6"/>
      <c r="F107" s="6" t="s">
        <v>15</v>
      </c>
      <c r="G107" s="6" t="s">
        <v>16</v>
      </c>
      <c r="H107" s="349" t="s">
        <v>146</v>
      </c>
      <c r="I107" s="202">
        <v>94313015</v>
      </c>
      <c r="J107" s="7" t="s">
        <v>12</v>
      </c>
      <c r="K107" s="663">
        <v>5</v>
      </c>
      <c r="L107" s="11"/>
      <c r="M107" s="104">
        <f>8166-3954</f>
        <v>4212</v>
      </c>
      <c r="N107" s="104">
        <f>32245-15416</f>
        <v>16829</v>
      </c>
      <c r="O107" s="10">
        <f t="shared" si="4"/>
        <v>21041</v>
      </c>
      <c r="P107" s="11"/>
      <c r="Q107" s="104">
        <f>8166-3954</f>
        <v>4212</v>
      </c>
      <c r="R107" s="104">
        <f>32245-15416</f>
        <v>16829</v>
      </c>
      <c r="S107" s="10">
        <f t="shared" si="5"/>
        <v>21041</v>
      </c>
      <c r="T107" s="11"/>
      <c r="U107" s="10">
        <f t="shared" si="6"/>
        <v>8424</v>
      </c>
      <c r="V107" s="10">
        <f t="shared" si="6"/>
        <v>33658</v>
      </c>
      <c r="W107" s="10">
        <f t="shared" si="7"/>
        <v>42082</v>
      </c>
    </row>
    <row r="108" spans="1:23" ht="30.75">
      <c r="A108" s="234" t="s">
        <v>7</v>
      </c>
      <c r="B108" s="5" t="s">
        <v>8</v>
      </c>
      <c r="C108" s="5" t="s">
        <v>1503</v>
      </c>
      <c r="D108" s="6" t="s">
        <v>1504</v>
      </c>
      <c r="E108" s="6"/>
      <c r="F108" s="6" t="s">
        <v>15</v>
      </c>
      <c r="G108" s="6" t="s">
        <v>16</v>
      </c>
      <c r="H108" s="349" t="s">
        <v>1505</v>
      </c>
      <c r="I108" s="202">
        <v>101528</v>
      </c>
      <c r="J108" s="7" t="s">
        <v>12</v>
      </c>
      <c r="K108" s="663">
        <v>0.5</v>
      </c>
      <c r="L108" s="11"/>
      <c r="M108" s="104">
        <f>2743-2476</f>
        <v>267</v>
      </c>
      <c r="N108" s="104">
        <f>11405-10251</f>
        <v>1154</v>
      </c>
      <c r="O108" s="10">
        <f t="shared" si="4"/>
        <v>1421</v>
      </c>
      <c r="P108" s="11"/>
      <c r="Q108" s="104">
        <f>2743-2476</f>
        <v>267</v>
      </c>
      <c r="R108" s="104">
        <f>11405-10251</f>
        <v>1154</v>
      </c>
      <c r="S108" s="10">
        <f t="shared" si="5"/>
        <v>1421</v>
      </c>
      <c r="T108" s="11"/>
      <c r="U108" s="10">
        <f t="shared" si="6"/>
        <v>534</v>
      </c>
      <c r="V108" s="10">
        <f t="shared" si="6"/>
        <v>2308</v>
      </c>
      <c r="W108" s="10">
        <f t="shared" si="7"/>
        <v>2842</v>
      </c>
    </row>
    <row r="109" spans="1:23" ht="29.25">
      <c r="A109" s="234" t="s">
        <v>7</v>
      </c>
      <c r="B109" s="56" t="s">
        <v>8</v>
      </c>
      <c r="C109" s="51" t="s">
        <v>101</v>
      </c>
      <c r="D109" s="51" t="s">
        <v>82</v>
      </c>
      <c r="E109" s="42" t="s">
        <v>2081</v>
      </c>
      <c r="F109" s="42" t="s">
        <v>15</v>
      </c>
      <c r="G109" s="42" t="s">
        <v>16</v>
      </c>
      <c r="H109" s="571" t="s">
        <v>2111</v>
      </c>
      <c r="I109" s="42">
        <v>83777043</v>
      </c>
      <c r="J109" s="136" t="s">
        <v>149</v>
      </c>
      <c r="K109" s="58">
        <v>0.8</v>
      </c>
      <c r="L109" s="12">
        <f>5298-3466</f>
        <v>1832</v>
      </c>
      <c r="M109" s="41"/>
      <c r="N109" s="41"/>
      <c r="O109" s="104">
        <f>L109</f>
        <v>1832</v>
      </c>
      <c r="P109" s="12">
        <f>5298-3466</f>
        <v>1832</v>
      </c>
      <c r="Q109" s="41"/>
      <c r="R109" s="41"/>
      <c r="S109" s="104">
        <f>P109</f>
        <v>1832</v>
      </c>
      <c r="T109" s="12">
        <f>O109+S109</f>
        <v>3664</v>
      </c>
      <c r="U109" s="41"/>
      <c r="V109" s="41"/>
      <c r="W109" s="104">
        <f>T109</f>
        <v>3664</v>
      </c>
    </row>
    <row r="110" spans="1:23" ht="30.75">
      <c r="A110" s="233" t="s">
        <v>7</v>
      </c>
      <c r="B110" s="331" t="s">
        <v>157</v>
      </c>
      <c r="C110" s="331" t="s">
        <v>1500</v>
      </c>
      <c r="D110" s="103" t="s">
        <v>82</v>
      </c>
      <c r="E110" s="669"/>
      <c r="F110" s="670" t="s">
        <v>15</v>
      </c>
      <c r="G110" s="670" t="s">
        <v>16</v>
      </c>
      <c r="H110" s="671" t="s">
        <v>1501</v>
      </c>
      <c r="I110" s="373">
        <v>92953531</v>
      </c>
      <c r="J110" s="673" t="s">
        <v>147</v>
      </c>
      <c r="K110" s="678">
        <v>1</v>
      </c>
      <c r="L110" s="675">
        <f>2830-449</f>
        <v>2381</v>
      </c>
      <c r="M110" s="636"/>
      <c r="N110" s="636"/>
      <c r="O110" s="104">
        <f>L110</f>
        <v>2381</v>
      </c>
      <c r="P110" s="675">
        <f>2830-449</f>
        <v>2381</v>
      </c>
      <c r="Q110" s="636"/>
      <c r="R110" s="636"/>
      <c r="S110" s="104">
        <f>P110</f>
        <v>2381</v>
      </c>
      <c r="T110" s="12">
        <f aca="true" t="shared" si="8" ref="T110:T121">O110+S110</f>
        <v>4762</v>
      </c>
      <c r="U110" s="636"/>
      <c r="V110" s="636"/>
      <c r="W110" s="104">
        <f aca="true" t="shared" si="9" ref="W110:W121">T110</f>
        <v>4762</v>
      </c>
    </row>
    <row r="111" spans="1:23" ht="30.75">
      <c r="A111" s="234" t="s">
        <v>7</v>
      </c>
      <c r="B111" s="5" t="s">
        <v>8</v>
      </c>
      <c r="C111" s="6" t="s">
        <v>16</v>
      </c>
      <c r="D111" s="6" t="s">
        <v>82</v>
      </c>
      <c r="E111" s="6"/>
      <c r="F111" s="6" t="s">
        <v>15</v>
      </c>
      <c r="G111" s="6" t="s">
        <v>16</v>
      </c>
      <c r="H111" s="639" t="s">
        <v>1502</v>
      </c>
      <c r="I111" s="202">
        <v>218246</v>
      </c>
      <c r="J111" s="161" t="s">
        <v>147</v>
      </c>
      <c r="K111" s="663">
        <v>13</v>
      </c>
      <c r="L111" s="10">
        <f>115513-96184</f>
        <v>19329</v>
      </c>
      <c r="M111" s="11"/>
      <c r="N111" s="11"/>
      <c r="O111" s="104">
        <f aca="true" t="shared" si="10" ref="O111:O121">L111</f>
        <v>19329</v>
      </c>
      <c r="P111" s="10">
        <f>115513-96184</f>
        <v>19329</v>
      </c>
      <c r="Q111" s="11"/>
      <c r="R111" s="11"/>
      <c r="S111" s="104">
        <f aca="true" t="shared" si="11" ref="S111:S121">P111</f>
        <v>19329</v>
      </c>
      <c r="T111" s="12">
        <f t="shared" si="8"/>
        <v>38658</v>
      </c>
      <c r="U111" s="11"/>
      <c r="V111" s="11"/>
      <c r="W111" s="104">
        <f t="shared" si="9"/>
        <v>38658</v>
      </c>
    </row>
    <row r="112" spans="1:23" ht="29.25">
      <c r="A112" s="668" t="s">
        <v>7</v>
      </c>
      <c r="B112" s="159" t="s">
        <v>1052</v>
      </c>
      <c r="C112" s="159" t="s">
        <v>1053</v>
      </c>
      <c r="D112" s="159"/>
      <c r="E112" s="159"/>
      <c r="F112" s="160" t="s">
        <v>15</v>
      </c>
      <c r="G112" s="160" t="s">
        <v>16</v>
      </c>
      <c r="H112" s="348" t="s">
        <v>1646</v>
      </c>
      <c r="I112" s="172">
        <v>83904335</v>
      </c>
      <c r="J112" s="672" t="s">
        <v>147</v>
      </c>
      <c r="K112" s="679">
        <v>1.5</v>
      </c>
      <c r="L112" s="674">
        <f>5206-2732</f>
        <v>2474</v>
      </c>
      <c r="M112" s="676"/>
      <c r="N112" s="676"/>
      <c r="O112" s="104">
        <f t="shared" si="10"/>
        <v>2474</v>
      </c>
      <c r="P112" s="674">
        <f>5206-2732</f>
        <v>2474</v>
      </c>
      <c r="Q112" s="676"/>
      <c r="R112" s="676"/>
      <c r="S112" s="104">
        <f t="shared" si="11"/>
        <v>2474</v>
      </c>
      <c r="T112" s="12">
        <f t="shared" si="8"/>
        <v>4948</v>
      </c>
      <c r="U112" s="676"/>
      <c r="V112" s="676"/>
      <c r="W112" s="104">
        <f t="shared" si="9"/>
        <v>4948</v>
      </c>
    </row>
    <row r="113" spans="1:23" ht="18">
      <c r="A113" s="234" t="s">
        <v>7</v>
      </c>
      <c r="B113" s="42" t="s">
        <v>948</v>
      </c>
      <c r="C113" s="42" t="s">
        <v>16</v>
      </c>
      <c r="D113" s="42" t="s">
        <v>59</v>
      </c>
      <c r="E113" s="42"/>
      <c r="F113" s="42" t="s">
        <v>15</v>
      </c>
      <c r="G113" s="42" t="s">
        <v>16</v>
      </c>
      <c r="H113" s="313" t="s">
        <v>2187</v>
      </c>
      <c r="I113" s="42">
        <v>118149</v>
      </c>
      <c r="J113" s="667" t="s">
        <v>147</v>
      </c>
      <c r="K113" s="44">
        <v>14</v>
      </c>
      <c r="L113" s="28">
        <f>57024-48899</f>
        <v>8125</v>
      </c>
      <c r="M113" s="41"/>
      <c r="N113" s="41"/>
      <c r="O113" s="104">
        <f t="shared" si="10"/>
        <v>8125</v>
      </c>
      <c r="P113" s="28">
        <f>57024-48899</f>
        <v>8125</v>
      </c>
      <c r="Q113" s="41"/>
      <c r="R113" s="41"/>
      <c r="S113" s="104">
        <f t="shared" si="11"/>
        <v>8125</v>
      </c>
      <c r="T113" s="12">
        <f t="shared" si="8"/>
        <v>16250</v>
      </c>
      <c r="U113" s="41"/>
      <c r="V113" s="41"/>
      <c r="W113" s="104">
        <f t="shared" si="9"/>
        <v>16250</v>
      </c>
    </row>
    <row r="114" spans="1:23" ht="29.25">
      <c r="A114" s="234" t="s">
        <v>7</v>
      </c>
      <c r="B114" s="158" t="s">
        <v>8</v>
      </c>
      <c r="C114" s="57" t="s">
        <v>10</v>
      </c>
      <c r="D114" s="57" t="s">
        <v>89</v>
      </c>
      <c r="E114" s="51"/>
      <c r="F114" s="75" t="s">
        <v>9</v>
      </c>
      <c r="G114" s="52" t="s">
        <v>10</v>
      </c>
      <c r="H114" s="348" t="s">
        <v>1767</v>
      </c>
      <c r="I114" s="51">
        <v>1494759</v>
      </c>
      <c r="J114" s="543" t="s">
        <v>147</v>
      </c>
      <c r="K114" s="664">
        <v>3</v>
      </c>
      <c r="L114" s="28">
        <f>14846-11922</f>
        <v>2924</v>
      </c>
      <c r="M114" s="41"/>
      <c r="N114" s="41"/>
      <c r="O114" s="104">
        <f t="shared" si="10"/>
        <v>2924</v>
      </c>
      <c r="P114" s="28">
        <f>14846-11922</f>
        <v>2924</v>
      </c>
      <c r="Q114" s="41"/>
      <c r="R114" s="41"/>
      <c r="S114" s="104">
        <f t="shared" si="11"/>
        <v>2924</v>
      </c>
      <c r="T114" s="12">
        <f t="shared" si="8"/>
        <v>5848</v>
      </c>
      <c r="U114" s="41"/>
      <c r="V114" s="41"/>
      <c r="W114" s="104">
        <f t="shared" si="9"/>
        <v>5848</v>
      </c>
    </row>
    <row r="115" spans="1:23" ht="29.25">
      <c r="A115" s="251" t="s">
        <v>7</v>
      </c>
      <c r="B115" s="158" t="s">
        <v>8</v>
      </c>
      <c r="C115" s="57" t="s">
        <v>105</v>
      </c>
      <c r="D115" s="175"/>
      <c r="E115" s="51"/>
      <c r="F115" s="75" t="s">
        <v>15</v>
      </c>
      <c r="G115" s="75" t="s">
        <v>16</v>
      </c>
      <c r="H115" s="571" t="s">
        <v>1768</v>
      </c>
      <c r="I115" s="51">
        <v>1494748</v>
      </c>
      <c r="J115" s="543" t="s">
        <v>147</v>
      </c>
      <c r="K115" s="664">
        <v>3</v>
      </c>
      <c r="L115" s="28">
        <f>17457-14749</f>
        <v>2708</v>
      </c>
      <c r="M115" s="41"/>
      <c r="N115" s="41"/>
      <c r="O115" s="104">
        <f t="shared" si="10"/>
        <v>2708</v>
      </c>
      <c r="P115" s="28">
        <f>17457-14749</f>
        <v>2708</v>
      </c>
      <c r="Q115" s="41"/>
      <c r="R115" s="41"/>
      <c r="S115" s="104">
        <f t="shared" si="11"/>
        <v>2708</v>
      </c>
      <c r="T115" s="12">
        <f t="shared" si="8"/>
        <v>5416</v>
      </c>
      <c r="U115" s="41"/>
      <c r="V115" s="41"/>
      <c r="W115" s="104">
        <f t="shared" si="9"/>
        <v>5416</v>
      </c>
    </row>
    <row r="116" spans="1:23" ht="18">
      <c r="A116" s="234" t="s">
        <v>7</v>
      </c>
      <c r="B116" s="145" t="s">
        <v>948</v>
      </c>
      <c r="C116" s="145" t="s">
        <v>14</v>
      </c>
      <c r="D116" s="51"/>
      <c r="E116" s="51"/>
      <c r="F116" s="75" t="s">
        <v>15</v>
      </c>
      <c r="G116" s="52" t="s">
        <v>16</v>
      </c>
      <c r="H116" s="571" t="s">
        <v>1778</v>
      </c>
      <c r="I116" s="51">
        <v>90022525</v>
      </c>
      <c r="J116" s="543" t="s">
        <v>147</v>
      </c>
      <c r="K116" s="680">
        <v>1</v>
      </c>
      <c r="L116" s="51">
        <f>8577-6609</f>
        <v>1968</v>
      </c>
      <c r="M116" s="41"/>
      <c r="N116" s="41"/>
      <c r="O116" s="104">
        <f t="shared" si="10"/>
        <v>1968</v>
      </c>
      <c r="P116" s="51">
        <f>8577-6609</f>
        <v>1968</v>
      </c>
      <c r="Q116" s="41"/>
      <c r="R116" s="41"/>
      <c r="S116" s="104">
        <f t="shared" si="11"/>
        <v>1968</v>
      </c>
      <c r="T116" s="12">
        <f t="shared" si="8"/>
        <v>3936</v>
      </c>
      <c r="U116" s="41"/>
      <c r="V116" s="41"/>
      <c r="W116" s="104">
        <f t="shared" si="9"/>
        <v>3936</v>
      </c>
    </row>
    <row r="117" spans="1:23" ht="29.25">
      <c r="A117" s="234" t="s">
        <v>7</v>
      </c>
      <c r="B117" s="56" t="s">
        <v>8</v>
      </c>
      <c r="C117" s="51" t="s">
        <v>67</v>
      </c>
      <c r="D117" s="51" t="s">
        <v>70</v>
      </c>
      <c r="E117" s="42"/>
      <c r="F117" s="42" t="s">
        <v>15</v>
      </c>
      <c r="G117" s="45" t="s">
        <v>16</v>
      </c>
      <c r="H117" s="571" t="s">
        <v>2080</v>
      </c>
      <c r="I117" s="42">
        <v>83638413</v>
      </c>
      <c r="J117" s="543" t="s">
        <v>147</v>
      </c>
      <c r="K117" s="664">
        <v>1</v>
      </c>
      <c r="L117" s="12">
        <f>29200-23189</f>
        <v>6011</v>
      </c>
      <c r="M117" s="41"/>
      <c r="N117" s="41"/>
      <c r="O117" s="104">
        <f t="shared" si="10"/>
        <v>6011</v>
      </c>
      <c r="P117" s="12">
        <f>29200-23189</f>
        <v>6011</v>
      </c>
      <c r="Q117" s="41"/>
      <c r="R117" s="41"/>
      <c r="S117" s="104">
        <f t="shared" si="11"/>
        <v>6011</v>
      </c>
      <c r="T117" s="12">
        <f t="shared" si="8"/>
        <v>12022</v>
      </c>
      <c r="U117" s="41"/>
      <c r="V117" s="41"/>
      <c r="W117" s="104">
        <f t="shared" si="9"/>
        <v>12022</v>
      </c>
    </row>
    <row r="118" spans="1:23" ht="29.25">
      <c r="A118" s="234" t="s">
        <v>7</v>
      </c>
      <c r="B118" s="56" t="s">
        <v>8</v>
      </c>
      <c r="C118" s="51" t="s">
        <v>16</v>
      </c>
      <c r="D118" s="51" t="s">
        <v>2082</v>
      </c>
      <c r="E118" s="42"/>
      <c r="F118" s="42" t="s">
        <v>15</v>
      </c>
      <c r="G118" s="42" t="s">
        <v>16</v>
      </c>
      <c r="H118" s="571" t="s">
        <v>2113</v>
      </c>
      <c r="I118" s="42">
        <v>83558094</v>
      </c>
      <c r="J118" s="175" t="s">
        <v>147</v>
      </c>
      <c r="K118" s="664">
        <v>0.4</v>
      </c>
      <c r="L118" s="12">
        <f>1161-496</f>
        <v>665</v>
      </c>
      <c r="M118" s="41"/>
      <c r="N118" s="41"/>
      <c r="O118" s="104">
        <f t="shared" si="10"/>
        <v>665</v>
      </c>
      <c r="P118" s="12">
        <f>1161-496</f>
        <v>665</v>
      </c>
      <c r="Q118" s="41"/>
      <c r="R118" s="41"/>
      <c r="S118" s="104">
        <f t="shared" si="11"/>
        <v>665</v>
      </c>
      <c r="T118" s="12">
        <f t="shared" si="8"/>
        <v>1330</v>
      </c>
      <c r="U118" s="41"/>
      <c r="V118" s="41"/>
      <c r="W118" s="104">
        <f t="shared" si="9"/>
        <v>1330</v>
      </c>
    </row>
    <row r="119" spans="1:23" ht="29.25">
      <c r="A119" s="234" t="s">
        <v>7</v>
      </c>
      <c r="B119" s="56" t="s">
        <v>8</v>
      </c>
      <c r="C119" s="51" t="s">
        <v>31</v>
      </c>
      <c r="D119" s="51"/>
      <c r="E119" s="42" t="s">
        <v>2064</v>
      </c>
      <c r="F119" s="42" t="s">
        <v>9</v>
      </c>
      <c r="G119" s="42" t="s">
        <v>10</v>
      </c>
      <c r="H119" s="571" t="s">
        <v>2112</v>
      </c>
      <c r="I119" s="42">
        <v>89082066</v>
      </c>
      <c r="J119" s="175" t="s">
        <v>147</v>
      </c>
      <c r="K119" s="391">
        <v>0.5</v>
      </c>
      <c r="L119" s="12">
        <f>758-491</f>
        <v>267</v>
      </c>
      <c r="M119" s="41"/>
      <c r="N119" s="41"/>
      <c r="O119" s="104">
        <f t="shared" si="10"/>
        <v>267</v>
      </c>
      <c r="P119" s="12">
        <f>758-491</f>
        <v>267</v>
      </c>
      <c r="Q119" s="41"/>
      <c r="R119" s="41"/>
      <c r="S119" s="104">
        <f t="shared" si="11"/>
        <v>267</v>
      </c>
      <c r="T119" s="12">
        <f t="shared" si="8"/>
        <v>534</v>
      </c>
      <c r="U119" s="41"/>
      <c r="V119" s="41"/>
      <c r="W119" s="104">
        <f t="shared" si="9"/>
        <v>534</v>
      </c>
    </row>
    <row r="120" spans="1:23" ht="29.25">
      <c r="A120" s="239" t="s">
        <v>7</v>
      </c>
      <c r="B120" s="56" t="s">
        <v>2190</v>
      </c>
      <c r="C120" s="51" t="s">
        <v>108</v>
      </c>
      <c r="D120" s="51"/>
      <c r="E120" s="42" t="s">
        <v>2189</v>
      </c>
      <c r="F120" s="42" t="s">
        <v>15</v>
      </c>
      <c r="G120" s="42" t="s">
        <v>16</v>
      </c>
      <c r="H120" s="608" t="s">
        <v>2188</v>
      </c>
      <c r="I120" s="40">
        <v>83558249</v>
      </c>
      <c r="J120" s="175" t="s">
        <v>147</v>
      </c>
      <c r="K120" s="58">
        <v>5</v>
      </c>
      <c r="L120" s="12">
        <f>8491-4997</f>
        <v>3494</v>
      </c>
      <c r="M120" s="41"/>
      <c r="N120" s="41"/>
      <c r="O120" s="104">
        <f t="shared" si="10"/>
        <v>3494</v>
      </c>
      <c r="P120" s="12">
        <f>8491-4997</f>
        <v>3494</v>
      </c>
      <c r="Q120" s="41"/>
      <c r="R120" s="41"/>
      <c r="S120" s="104">
        <f t="shared" si="11"/>
        <v>3494</v>
      </c>
      <c r="T120" s="12">
        <f t="shared" si="8"/>
        <v>6988</v>
      </c>
      <c r="U120" s="41"/>
      <c r="V120" s="41"/>
      <c r="W120" s="104">
        <f t="shared" si="9"/>
        <v>6988</v>
      </c>
    </row>
    <row r="121" spans="1:23" ht="29.25">
      <c r="A121" s="239" t="s">
        <v>7</v>
      </c>
      <c r="B121" s="56" t="s">
        <v>8</v>
      </c>
      <c r="C121" s="51" t="s">
        <v>19</v>
      </c>
      <c r="D121" s="51"/>
      <c r="E121" s="42" t="s">
        <v>2114</v>
      </c>
      <c r="F121" s="42" t="s">
        <v>15</v>
      </c>
      <c r="G121" s="45" t="s">
        <v>16</v>
      </c>
      <c r="H121" s="571" t="s">
        <v>2115</v>
      </c>
      <c r="I121" s="42">
        <v>89124994</v>
      </c>
      <c r="J121" s="175" t="s">
        <v>147</v>
      </c>
      <c r="K121" s="391">
        <v>0.5</v>
      </c>
      <c r="L121" s="12">
        <v>1000</v>
      </c>
      <c r="M121" s="41"/>
      <c r="N121" s="41"/>
      <c r="O121" s="104">
        <f t="shared" si="10"/>
        <v>1000</v>
      </c>
      <c r="P121" s="12">
        <v>1000</v>
      </c>
      <c r="Q121" s="41"/>
      <c r="R121" s="41"/>
      <c r="S121" s="104">
        <f t="shared" si="11"/>
        <v>1000</v>
      </c>
      <c r="T121" s="12">
        <f t="shared" si="8"/>
        <v>2000</v>
      </c>
      <c r="U121" s="41"/>
      <c r="V121" s="41"/>
      <c r="W121" s="104">
        <f t="shared" si="9"/>
        <v>2000</v>
      </c>
    </row>
    <row r="122" spans="1:23" ht="30" thickBot="1">
      <c r="A122" s="239" t="s">
        <v>7</v>
      </c>
      <c r="B122" s="56" t="s">
        <v>8</v>
      </c>
      <c r="C122" s="51" t="s">
        <v>16</v>
      </c>
      <c r="D122" s="56" t="s">
        <v>2230</v>
      </c>
      <c r="E122" s="42"/>
      <c r="F122" s="42" t="s">
        <v>15</v>
      </c>
      <c r="G122" s="45" t="s">
        <v>16</v>
      </c>
      <c r="H122" s="571" t="s">
        <v>73</v>
      </c>
      <c r="I122" s="571">
        <v>53660150</v>
      </c>
      <c r="J122" s="175" t="s">
        <v>147</v>
      </c>
      <c r="K122" s="391">
        <v>3</v>
      </c>
      <c r="L122" s="12">
        <v>1000</v>
      </c>
      <c r="M122" s="41"/>
      <c r="N122" s="41"/>
      <c r="O122" s="12">
        <f>L122</f>
        <v>1000</v>
      </c>
      <c r="P122" s="49">
        <v>1000</v>
      </c>
      <c r="Q122" s="50"/>
      <c r="R122" s="50"/>
      <c r="S122" s="49">
        <f>P122</f>
        <v>1000</v>
      </c>
      <c r="T122" s="607">
        <f>O122+S122</f>
        <v>2000</v>
      </c>
      <c r="U122" s="41"/>
      <c r="V122" s="41"/>
      <c r="W122" s="735">
        <f>T122</f>
        <v>2000</v>
      </c>
    </row>
    <row r="123" spans="1:23" ht="36" customHeight="1">
      <c r="A123" s="355"/>
      <c r="B123" s="394" t="s">
        <v>150</v>
      </c>
      <c r="C123" s="395" t="s">
        <v>948</v>
      </c>
      <c r="D123" s="396"/>
      <c r="G123" s="521" t="s">
        <v>2030</v>
      </c>
      <c r="H123" s="402" t="s">
        <v>2079</v>
      </c>
      <c r="N123" s="12" t="s">
        <v>151</v>
      </c>
      <c r="O123" s="235">
        <f>SUM(O21:O122)</f>
        <v>703451</v>
      </c>
      <c r="R123" s="12" t="s">
        <v>151</v>
      </c>
      <c r="S123" s="235">
        <f>SUM(S21:S122)</f>
        <v>703451</v>
      </c>
      <c r="V123" s="12" t="s">
        <v>151</v>
      </c>
      <c r="W123" s="235">
        <f>SUM(W21:W122)</f>
        <v>1406902</v>
      </c>
    </row>
    <row r="124" spans="2:16" ht="18.75" customHeight="1">
      <c r="B124" s="397"/>
      <c r="C124" s="329" t="s">
        <v>1911</v>
      </c>
      <c r="D124" s="398"/>
      <c r="G124" s="100"/>
      <c r="H124" s="403" t="s">
        <v>1911</v>
      </c>
      <c r="L124" s="46"/>
      <c r="M124" s="46"/>
      <c r="N124" s="46"/>
      <c r="O124" s="181"/>
      <c r="P124" s="199"/>
    </row>
    <row r="125" spans="1:16" ht="18.75" customHeight="1" thickBot="1">
      <c r="A125" s="637"/>
      <c r="B125" s="100"/>
      <c r="C125" s="244" t="s">
        <v>949</v>
      </c>
      <c r="D125" s="398"/>
      <c r="E125" s="46"/>
      <c r="F125" s="46"/>
      <c r="G125" s="404"/>
      <c r="H125" s="401" t="s">
        <v>949</v>
      </c>
      <c r="I125" s="46"/>
      <c r="J125" s="46"/>
      <c r="K125" s="46"/>
      <c r="O125" s="181"/>
      <c r="P125" s="199"/>
    </row>
    <row r="126" spans="2:16" ht="18.75" customHeight="1">
      <c r="B126" s="247" t="s">
        <v>1640</v>
      </c>
      <c r="C126" s="248">
        <v>8222147185</v>
      </c>
      <c r="D126" s="398"/>
      <c r="O126" s="181"/>
      <c r="P126" s="199"/>
    </row>
    <row r="127" spans="2:16" ht="18.75" customHeight="1" thickBot="1">
      <c r="B127" s="399" t="s">
        <v>1644</v>
      </c>
      <c r="C127" s="400" t="s">
        <v>1645</v>
      </c>
      <c r="D127" s="401"/>
      <c r="O127" s="181"/>
      <c r="P127" s="181"/>
    </row>
    <row r="128" spans="2:4" ht="15">
      <c r="B128" s="236"/>
      <c r="C128" s="64"/>
      <c r="D128" s="64"/>
    </row>
    <row r="129" spans="1:4" ht="15">
      <c r="A129" s="355"/>
      <c r="B129" s="64"/>
      <c r="C129" s="64"/>
      <c r="D129" s="64"/>
    </row>
    <row r="130" spans="1:10" ht="15">
      <c r="A130" s="355"/>
      <c r="B130" s="245"/>
      <c r="C130" s="248"/>
      <c r="D130" s="244"/>
      <c r="I130" s="54" t="s">
        <v>155</v>
      </c>
      <c r="J130" s="2">
        <f>W123</f>
        <v>1406902</v>
      </c>
    </row>
    <row r="131" spans="1:4" ht="15.75" thickBot="1">
      <c r="A131" s="355"/>
      <c r="B131" s="245"/>
      <c r="C131" s="248"/>
      <c r="D131" s="244"/>
    </row>
    <row r="132" spans="1:11" ht="30" customHeight="1">
      <c r="A132" s="355"/>
      <c r="B132" s="245"/>
      <c r="C132" s="248"/>
      <c r="D132" s="244"/>
      <c r="G132" s="772" t="s">
        <v>152</v>
      </c>
      <c r="H132" s="774" t="s">
        <v>2257</v>
      </c>
      <c r="I132" s="775"/>
      <c r="J132" s="776"/>
      <c r="K132" s="768" t="s">
        <v>153</v>
      </c>
    </row>
    <row r="133" spans="1:19" ht="15.75" thickBot="1">
      <c r="A133" s="355"/>
      <c r="B133" s="245"/>
      <c r="C133" s="248"/>
      <c r="D133" s="244"/>
      <c r="G133" s="773"/>
      <c r="H133" s="115" t="s">
        <v>154</v>
      </c>
      <c r="I133" s="115" t="s">
        <v>1017</v>
      </c>
      <c r="J133" s="115" t="s">
        <v>1018</v>
      </c>
      <c r="K133" s="769"/>
      <c r="Q133" s="2"/>
      <c r="R133" s="2"/>
      <c r="S133" s="2"/>
    </row>
    <row r="134" spans="7:19" ht="14.25">
      <c r="G134" s="690" t="s">
        <v>147</v>
      </c>
      <c r="H134" s="582">
        <f>SUM(W110:W122)</f>
        <v>104692</v>
      </c>
      <c r="I134" s="681"/>
      <c r="J134" s="681"/>
      <c r="K134" s="693">
        <v>12</v>
      </c>
      <c r="Q134" s="2"/>
      <c r="R134" s="2"/>
      <c r="S134" s="2"/>
    </row>
    <row r="135" spans="1:11" ht="14.25">
      <c r="A135" s="355"/>
      <c r="G135" s="690" t="s">
        <v>149</v>
      </c>
      <c r="H135" s="582">
        <f>SUM(W109)</f>
        <v>3664</v>
      </c>
      <c r="I135" s="681"/>
      <c r="J135" s="681"/>
      <c r="K135" s="689">
        <v>1</v>
      </c>
    </row>
    <row r="136" spans="7:11" ht="15" thickBot="1">
      <c r="G136" s="695" t="s">
        <v>12</v>
      </c>
      <c r="H136" s="696"/>
      <c r="I136" s="583">
        <f>SUM(U21:U108)</f>
        <v>244114</v>
      </c>
      <c r="J136" s="583">
        <f>SUM(V21:V108)</f>
        <v>1054432</v>
      </c>
      <c r="K136" s="689">
        <v>88</v>
      </c>
    </row>
    <row r="137" spans="7:16" ht="15" thickBot="1">
      <c r="G137" s="697" t="s">
        <v>155</v>
      </c>
      <c r="H137" s="15">
        <f>SUM(H134:H136)</f>
        <v>108356</v>
      </c>
      <c r="I137" s="15">
        <f>SUM(I136)</f>
        <v>244114</v>
      </c>
      <c r="J137" s="677">
        <f>SUM(J136)</f>
        <v>1054432</v>
      </c>
      <c r="K137" s="278">
        <f>SUM(K134:K136)</f>
        <v>101</v>
      </c>
      <c r="L137" s="29"/>
      <c r="M137" s="29"/>
      <c r="N137" s="135"/>
      <c r="O137" s="29"/>
      <c r="P137" s="29"/>
    </row>
    <row r="138" spans="8:16" ht="18.75" thickBot="1">
      <c r="H138" s="692" t="s">
        <v>2248</v>
      </c>
      <c r="I138" s="273">
        <f>SUM(H137:J137)</f>
        <v>1406902</v>
      </c>
      <c r="J138" s="2"/>
      <c r="K138" s="2"/>
      <c r="L138" s="29"/>
      <c r="M138" s="29"/>
      <c r="N138" s="29"/>
      <c r="O138" s="29"/>
      <c r="P138" s="29"/>
    </row>
  </sheetData>
  <sheetProtection/>
  <mergeCells count="26">
    <mergeCell ref="B1:L1"/>
    <mergeCell ref="B5:J5"/>
    <mergeCell ref="L18:O18"/>
    <mergeCell ref="D16:E17"/>
    <mergeCell ref="E18:E20"/>
    <mergeCell ref="F18:F20"/>
    <mergeCell ref="H7:J7"/>
    <mergeCell ref="L19:O19"/>
    <mergeCell ref="D18:D20"/>
    <mergeCell ref="K18:K20"/>
    <mergeCell ref="A18:A20"/>
    <mergeCell ref="B18:B20"/>
    <mergeCell ref="C18:C20"/>
    <mergeCell ref="J18:J20"/>
    <mergeCell ref="K132:K133"/>
    <mergeCell ref="I18:I20"/>
    <mergeCell ref="G18:G20"/>
    <mergeCell ref="G132:G133"/>
    <mergeCell ref="H132:J132"/>
    <mergeCell ref="P18:S18"/>
    <mergeCell ref="T18:W18"/>
    <mergeCell ref="P19:S19"/>
    <mergeCell ref="T19:W19"/>
    <mergeCell ref="B3:J3"/>
    <mergeCell ref="H6:J6"/>
    <mergeCell ref="H18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8"/>
  <sheetViews>
    <sheetView zoomScale="60" zoomScaleNormal="60" zoomScalePageLayoutView="0" workbookViewId="0" topLeftCell="E97">
      <selection activeCell="U126" sqref="U126"/>
    </sheetView>
  </sheetViews>
  <sheetFormatPr defaultColWidth="8.796875" defaultRowHeight="14.25"/>
  <cols>
    <col min="1" max="1" width="11.69921875" style="0" customWidth="1"/>
    <col min="2" max="2" width="13.3984375" style="0" customWidth="1"/>
    <col min="3" max="3" width="17.3984375" style="0" customWidth="1"/>
    <col min="4" max="4" width="18" style="0" customWidth="1"/>
    <col min="5" max="5" width="10.59765625" style="0" customWidth="1"/>
    <col min="6" max="6" width="9.09765625" style="0" customWidth="1"/>
    <col min="7" max="7" width="17.09765625" style="0" customWidth="1"/>
    <col min="8" max="8" width="25.8984375" style="0" customWidth="1"/>
    <col min="9" max="9" width="17.19921875" style="0" customWidth="1"/>
    <col min="10" max="10" width="11.59765625" style="0" customWidth="1"/>
    <col min="11" max="11" width="11.19921875" style="0" customWidth="1"/>
    <col min="12" max="12" width="15.09765625" style="0" customWidth="1"/>
    <col min="13" max="13" width="15.69921875" style="0" customWidth="1"/>
    <col min="14" max="14" width="16.8984375" style="0" customWidth="1"/>
    <col min="15" max="15" width="16" style="0" customWidth="1"/>
    <col min="16" max="16" width="22.69921875" style="0" customWidth="1"/>
    <col min="17" max="17" width="13.5" style="0" customWidth="1"/>
    <col min="18" max="18" width="14.5" style="0" customWidth="1"/>
    <col min="19" max="19" width="13.8984375" style="0" customWidth="1"/>
    <col min="20" max="20" width="20.3984375" style="0" customWidth="1"/>
    <col min="21" max="21" width="20.09765625" style="0" customWidth="1"/>
    <col min="22" max="22" width="15.09765625" style="0" customWidth="1"/>
    <col min="23" max="23" width="13.59765625" style="0" customWidth="1"/>
  </cols>
  <sheetData>
    <row r="1" spans="2:13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561"/>
    </row>
    <row r="2" spans="2:11" ht="15">
      <c r="B2" s="182"/>
      <c r="C2" s="182"/>
      <c r="D2" s="182"/>
      <c r="E2" s="182"/>
      <c r="F2" s="182"/>
      <c r="G2" s="182"/>
      <c r="H2" s="184"/>
      <c r="I2" s="182"/>
      <c r="J2" s="182"/>
      <c r="K2" s="182"/>
    </row>
    <row r="3" spans="2:11" ht="26.25" customHeight="1">
      <c r="B3" s="782" t="s">
        <v>1034</v>
      </c>
      <c r="C3" s="783"/>
      <c r="D3" s="783"/>
      <c r="E3" s="783"/>
      <c r="F3" s="783"/>
      <c r="G3" s="783"/>
      <c r="H3" s="783"/>
      <c r="I3" s="784"/>
      <c r="J3" s="182"/>
      <c r="K3" s="182"/>
    </row>
    <row r="4" spans="2:11" ht="15">
      <c r="B4" s="183"/>
      <c r="C4" s="183"/>
      <c r="D4" s="183"/>
      <c r="E4" s="183"/>
      <c r="F4" s="183"/>
      <c r="G4" s="183"/>
      <c r="H4" s="184"/>
      <c r="I4" s="182"/>
      <c r="J4" s="182"/>
      <c r="K4" s="182"/>
    </row>
    <row r="5" spans="2:11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  <c r="K5" s="182"/>
    </row>
    <row r="6" spans="2:11" ht="15">
      <c r="B6" s="183"/>
      <c r="C6" s="183"/>
      <c r="D6" s="183"/>
      <c r="E6" s="183"/>
      <c r="F6" s="183"/>
      <c r="G6" s="183"/>
      <c r="H6" s="184"/>
      <c r="I6" s="182"/>
      <c r="J6" s="182"/>
      <c r="K6" s="182"/>
    </row>
    <row r="7" spans="2:11" ht="15.75">
      <c r="B7" s="383" t="s">
        <v>950</v>
      </c>
      <c r="C7" s="182"/>
      <c r="D7" s="183"/>
      <c r="E7" s="183"/>
      <c r="F7" s="183"/>
      <c r="G7" s="182"/>
      <c r="H7" s="184"/>
      <c r="I7" s="182"/>
      <c r="J7" s="182"/>
      <c r="K7" s="182"/>
    </row>
    <row r="8" spans="2:11" ht="15.75">
      <c r="B8" s="383" t="s">
        <v>2031</v>
      </c>
      <c r="C8" s="182"/>
      <c r="D8" s="183"/>
      <c r="E8" s="183"/>
      <c r="F8" s="183"/>
      <c r="G8" s="182"/>
      <c r="H8" s="184"/>
      <c r="I8" s="182"/>
      <c r="J8" s="182"/>
      <c r="K8" s="182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1" ht="15.75"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  <c r="K10" s="182"/>
    </row>
    <row r="11" spans="2:11" ht="15"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  <c r="K11" s="182"/>
    </row>
    <row r="12" spans="2:11" ht="15.75">
      <c r="B12" s="188"/>
      <c r="C12" s="189"/>
      <c r="D12" s="187"/>
      <c r="E12" s="187"/>
      <c r="F12" s="187"/>
      <c r="G12" s="187"/>
      <c r="H12" s="182"/>
      <c r="I12" s="182"/>
      <c r="J12" s="182"/>
      <c r="K12" s="182"/>
    </row>
    <row r="13" spans="2:11" ht="15.75">
      <c r="B13" s="188" t="s">
        <v>1015</v>
      </c>
      <c r="C13" s="185" t="s">
        <v>1016</v>
      </c>
      <c r="D13" s="187"/>
      <c r="E13" s="187"/>
      <c r="F13" s="187"/>
      <c r="G13" s="187"/>
      <c r="H13" s="644"/>
      <c r="I13" s="182"/>
      <c r="J13" s="182"/>
      <c r="K13" s="182"/>
    </row>
    <row r="14" spans="2:9" ht="21" thickBot="1">
      <c r="B14" s="114"/>
      <c r="C14" s="105"/>
      <c r="D14" s="29"/>
      <c r="E14" s="29"/>
      <c r="F14" s="29"/>
      <c r="G14" s="29"/>
      <c r="H14" s="564"/>
      <c r="I14" s="106"/>
    </row>
    <row r="15" spans="1:23" s="19" customFormat="1" ht="47.2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36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44.2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s="19" customFormat="1" ht="29.25">
      <c r="A18" s="262" t="s">
        <v>7</v>
      </c>
      <c r="B18" s="20" t="s">
        <v>157</v>
      </c>
      <c r="C18" s="20" t="s">
        <v>158</v>
      </c>
      <c r="D18" s="20" t="s">
        <v>263</v>
      </c>
      <c r="E18" s="20"/>
      <c r="F18" s="20" t="s">
        <v>159</v>
      </c>
      <c r="G18" s="20" t="s">
        <v>158</v>
      </c>
      <c r="H18" s="563" t="s">
        <v>264</v>
      </c>
      <c r="I18" s="20">
        <v>90030877</v>
      </c>
      <c r="J18" s="225" t="s">
        <v>12</v>
      </c>
      <c r="K18" s="22">
        <v>6.6</v>
      </c>
      <c r="L18" s="23"/>
      <c r="M18" s="24">
        <f>18834-15703</f>
        <v>3131</v>
      </c>
      <c r="N18" s="24">
        <f>74733-61960</f>
        <v>12773</v>
      </c>
      <c r="O18" s="28">
        <f>M18+N18</f>
        <v>15904</v>
      </c>
      <c r="P18" s="23"/>
      <c r="Q18" s="24">
        <f>18834-15703</f>
        <v>3131</v>
      </c>
      <c r="R18" s="24">
        <f>74733-61960</f>
        <v>12773</v>
      </c>
      <c r="S18" s="28">
        <f>Q18+R18</f>
        <v>15904</v>
      </c>
      <c r="T18" s="23"/>
      <c r="U18" s="24">
        <f>M18+Q18</f>
        <v>6262</v>
      </c>
      <c r="V18" s="24">
        <f>N18+R18</f>
        <v>25546</v>
      </c>
      <c r="W18" s="28">
        <f>U18+V18</f>
        <v>31808</v>
      </c>
    </row>
    <row r="19" spans="1:23" s="19" customFormat="1" ht="29.25">
      <c r="A19" s="261" t="s">
        <v>7</v>
      </c>
      <c r="B19" s="25" t="s">
        <v>157</v>
      </c>
      <c r="C19" s="25" t="s">
        <v>158</v>
      </c>
      <c r="D19" s="25" t="s">
        <v>273</v>
      </c>
      <c r="E19" s="25"/>
      <c r="F19" s="25" t="s">
        <v>159</v>
      </c>
      <c r="G19" s="25" t="s">
        <v>158</v>
      </c>
      <c r="H19" s="538" t="s">
        <v>2089</v>
      </c>
      <c r="I19" s="25">
        <v>94807055</v>
      </c>
      <c r="J19" s="226" t="s">
        <v>12</v>
      </c>
      <c r="K19" s="26">
        <v>3</v>
      </c>
      <c r="L19" s="27"/>
      <c r="M19" s="28">
        <f>359-12</f>
        <v>347</v>
      </c>
      <c r="N19" s="28">
        <f>1569-49</f>
        <v>1520</v>
      </c>
      <c r="O19" s="28">
        <f aca="true" t="shared" si="0" ref="O19:O82">M19+N19</f>
        <v>1867</v>
      </c>
      <c r="P19" s="27"/>
      <c r="Q19" s="28">
        <f>359-12</f>
        <v>347</v>
      </c>
      <c r="R19" s="28">
        <f>1569-49</f>
        <v>1520</v>
      </c>
      <c r="S19" s="28">
        <f aca="true" t="shared" si="1" ref="S19:S82">Q19+R19</f>
        <v>1867</v>
      </c>
      <c r="T19" s="27"/>
      <c r="U19" s="24">
        <f aca="true" t="shared" si="2" ref="U19:U82">M19+Q19</f>
        <v>694</v>
      </c>
      <c r="V19" s="24">
        <f aca="true" t="shared" si="3" ref="V19:V82">N19+R19</f>
        <v>3040</v>
      </c>
      <c r="W19" s="28">
        <f aca="true" t="shared" si="4" ref="W19:W82">U19+V19</f>
        <v>3734</v>
      </c>
    </row>
    <row r="20" spans="1:23" s="19" customFormat="1" ht="29.25">
      <c r="A20" s="261" t="s">
        <v>7</v>
      </c>
      <c r="B20" s="25" t="s">
        <v>157</v>
      </c>
      <c r="C20" s="25" t="s">
        <v>158</v>
      </c>
      <c r="D20" s="25" t="s">
        <v>1428</v>
      </c>
      <c r="E20" s="25">
        <v>5</v>
      </c>
      <c r="F20" s="25" t="s">
        <v>159</v>
      </c>
      <c r="G20" s="25" t="s">
        <v>158</v>
      </c>
      <c r="H20" s="538" t="s">
        <v>224</v>
      </c>
      <c r="I20" s="25">
        <v>96009228</v>
      </c>
      <c r="J20" s="226" t="s">
        <v>12</v>
      </c>
      <c r="K20" s="26">
        <v>3.8</v>
      </c>
      <c r="L20" s="27"/>
      <c r="M20" s="28">
        <f>2506-57</f>
        <v>2449</v>
      </c>
      <c r="N20" s="28">
        <f>10217-484</f>
        <v>9733</v>
      </c>
      <c r="O20" s="28">
        <f t="shared" si="0"/>
        <v>12182</v>
      </c>
      <c r="P20" s="27"/>
      <c r="Q20" s="28">
        <f>2506-57</f>
        <v>2449</v>
      </c>
      <c r="R20" s="28">
        <f>10217-484</f>
        <v>9733</v>
      </c>
      <c r="S20" s="28">
        <f t="shared" si="1"/>
        <v>12182</v>
      </c>
      <c r="T20" s="27"/>
      <c r="U20" s="24">
        <f t="shared" si="2"/>
        <v>4898</v>
      </c>
      <c r="V20" s="24">
        <f t="shared" si="3"/>
        <v>19466</v>
      </c>
      <c r="W20" s="28">
        <f t="shared" si="4"/>
        <v>24364</v>
      </c>
    </row>
    <row r="21" spans="1:23" s="19" customFormat="1" ht="29.25">
      <c r="A21" s="261" t="s">
        <v>7</v>
      </c>
      <c r="B21" s="25" t="s">
        <v>157</v>
      </c>
      <c r="C21" s="25" t="s">
        <v>158</v>
      </c>
      <c r="D21" s="25" t="s">
        <v>268</v>
      </c>
      <c r="E21" s="25"/>
      <c r="F21" s="25" t="s">
        <v>159</v>
      </c>
      <c r="G21" s="25" t="s">
        <v>158</v>
      </c>
      <c r="H21" s="538" t="s">
        <v>269</v>
      </c>
      <c r="I21" s="25">
        <v>94658795</v>
      </c>
      <c r="J21" s="226" t="s">
        <v>12</v>
      </c>
      <c r="K21" s="26">
        <v>6.6</v>
      </c>
      <c r="L21" s="27"/>
      <c r="M21" s="28">
        <f>(10576-9659)</f>
        <v>917</v>
      </c>
      <c r="N21" s="28">
        <f>44788-40854</f>
        <v>3934</v>
      </c>
      <c r="O21" s="28">
        <f t="shared" si="0"/>
        <v>4851</v>
      </c>
      <c r="P21" s="27"/>
      <c r="Q21" s="28">
        <f>(10576-9659)</f>
        <v>917</v>
      </c>
      <c r="R21" s="28">
        <f>44788-40854</f>
        <v>3934</v>
      </c>
      <c r="S21" s="28">
        <f t="shared" si="1"/>
        <v>4851</v>
      </c>
      <c r="T21" s="27"/>
      <c r="U21" s="24">
        <f t="shared" si="2"/>
        <v>1834</v>
      </c>
      <c r="V21" s="24">
        <f t="shared" si="3"/>
        <v>7868</v>
      </c>
      <c r="W21" s="28">
        <f t="shared" si="4"/>
        <v>9702</v>
      </c>
    </row>
    <row r="22" spans="1:23" s="19" customFormat="1" ht="29.25">
      <c r="A22" s="261" t="s">
        <v>7</v>
      </c>
      <c r="B22" s="25" t="s">
        <v>157</v>
      </c>
      <c r="C22" s="25" t="s">
        <v>158</v>
      </c>
      <c r="D22" s="25" t="s">
        <v>1433</v>
      </c>
      <c r="E22" s="25">
        <v>7</v>
      </c>
      <c r="F22" s="25" t="s">
        <v>159</v>
      </c>
      <c r="G22" s="25" t="s">
        <v>158</v>
      </c>
      <c r="H22" s="538" t="s">
        <v>267</v>
      </c>
      <c r="I22" s="25">
        <v>94807028</v>
      </c>
      <c r="J22" s="226" t="s">
        <v>12</v>
      </c>
      <c r="K22" s="26">
        <v>9</v>
      </c>
      <c r="L22" s="27"/>
      <c r="M22" s="28">
        <f>5340-142</f>
        <v>5198</v>
      </c>
      <c r="N22" s="28">
        <f>22290-1189</f>
        <v>21101</v>
      </c>
      <c r="O22" s="28">
        <f t="shared" si="0"/>
        <v>26299</v>
      </c>
      <c r="P22" s="27"/>
      <c r="Q22" s="28">
        <f>5340-142</f>
        <v>5198</v>
      </c>
      <c r="R22" s="28">
        <f>22290-1189</f>
        <v>21101</v>
      </c>
      <c r="S22" s="28">
        <f t="shared" si="1"/>
        <v>26299</v>
      </c>
      <c r="T22" s="27"/>
      <c r="U22" s="24">
        <f t="shared" si="2"/>
        <v>10396</v>
      </c>
      <c r="V22" s="24">
        <f t="shared" si="3"/>
        <v>42202</v>
      </c>
      <c r="W22" s="28">
        <f t="shared" si="4"/>
        <v>52598</v>
      </c>
    </row>
    <row r="23" spans="1:23" s="19" customFormat="1" ht="29.25">
      <c r="A23" s="261" t="s">
        <v>7</v>
      </c>
      <c r="B23" s="25" t="s">
        <v>157</v>
      </c>
      <c r="C23" s="25" t="s">
        <v>158</v>
      </c>
      <c r="D23" s="25" t="s">
        <v>222</v>
      </c>
      <c r="E23" s="25"/>
      <c r="F23" s="25" t="s">
        <v>159</v>
      </c>
      <c r="G23" s="25" t="s">
        <v>158</v>
      </c>
      <c r="H23" s="538" t="s">
        <v>223</v>
      </c>
      <c r="I23" s="25">
        <v>94807026</v>
      </c>
      <c r="J23" s="226" t="s">
        <v>12</v>
      </c>
      <c r="K23" s="26">
        <v>10.5</v>
      </c>
      <c r="L23" s="27"/>
      <c r="M23" s="28">
        <f>44292-39821</f>
        <v>4471</v>
      </c>
      <c r="N23" s="28">
        <f>193712-173847</f>
        <v>19865</v>
      </c>
      <c r="O23" s="28">
        <f t="shared" si="0"/>
        <v>24336</v>
      </c>
      <c r="P23" s="27"/>
      <c r="Q23" s="28">
        <f>44292-39821</f>
        <v>4471</v>
      </c>
      <c r="R23" s="28">
        <f>193712-173847</f>
        <v>19865</v>
      </c>
      <c r="S23" s="28">
        <f t="shared" si="1"/>
        <v>24336</v>
      </c>
      <c r="T23" s="27"/>
      <c r="U23" s="24">
        <f t="shared" si="2"/>
        <v>8942</v>
      </c>
      <c r="V23" s="24">
        <f t="shared" si="3"/>
        <v>39730</v>
      </c>
      <c r="W23" s="28">
        <f t="shared" si="4"/>
        <v>48672</v>
      </c>
    </row>
    <row r="24" spans="1:23" s="19" customFormat="1" ht="29.25">
      <c r="A24" s="261" t="s">
        <v>7</v>
      </c>
      <c r="B24" s="25" t="s">
        <v>157</v>
      </c>
      <c r="C24" s="25" t="s">
        <v>158</v>
      </c>
      <c r="D24" s="25" t="s">
        <v>179</v>
      </c>
      <c r="E24" s="25"/>
      <c r="F24" s="25" t="s">
        <v>159</v>
      </c>
      <c r="G24" s="25" t="s">
        <v>158</v>
      </c>
      <c r="H24" s="538" t="s">
        <v>180</v>
      </c>
      <c r="I24" s="25">
        <v>94807027</v>
      </c>
      <c r="J24" s="226" t="s">
        <v>12</v>
      </c>
      <c r="K24" s="26">
        <v>6.6</v>
      </c>
      <c r="L24" s="27"/>
      <c r="M24" s="28">
        <f>3006-89</f>
        <v>2917</v>
      </c>
      <c r="N24" s="28">
        <f>13426-754</f>
        <v>12672</v>
      </c>
      <c r="O24" s="28">
        <f t="shared" si="0"/>
        <v>15589</v>
      </c>
      <c r="P24" s="27"/>
      <c r="Q24" s="28">
        <f>3006-89</f>
        <v>2917</v>
      </c>
      <c r="R24" s="28">
        <f>13426-754</f>
        <v>12672</v>
      </c>
      <c r="S24" s="28">
        <f t="shared" si="1"/>
        <v>15589</v>
      </c>
      <c r="T24" s="27"/>
      <c r="U24" s="24">
        <f t="shared" si="2"/>
        <v>5834</v>
      </c>
      <c r="V24" s="24">
        <f t="shared" si="3"/>
        <v>25344</v>
      </c>
      <c r="W24" s="28">
        <f t="shared" si="4"/>
        <v>31178</v>
      </c>
    </row>
    <row r="25" spans="1:23" s="19" customFormat="1" ht="29.25">
      <c r="A25" s="261" t="s">
        <v>7</v>
      </c>
      <c r="B25" s="25" t="s">
        <v>157</v>
      </c>
      <c r="C25" s="25" t="s">
        <v>158</v>
      </c>
      <c r="D25" s="25" t="s">
        <v>241</v>
      </c>
      <c r="E25" s="25"/>
      <c r="F25" s="25" t="s">
        <v>159</v>
      </c>
      <c r="G25" s="25" t="s">
        <v>158</v>
      </c>
      <c r="H25" s="538" t="s">
        <v>242</v>
      </c>
      <c r="I25" s="25">
        <v>94977131</v>
      </c>
      <c r="J25" s="226" t="s">
        <v>12</v>
      </c>
      <c r="K25" s="26">
        <v>10</v>
      </c>
      <c r="L25" s="27"/>
      <c r="M25" s="28">
        <f>8737-584</f>
        <v>8153</v>
      </c>
      <c r="N25" s="28">
        <f>43791-4386</f>
        <v>39405</v>
      </c>
      <c r="O25" s="28">
        <f t="shared" si="0"/>
        <v>47558</v>
      </c>
      <c r="P25" s="27"/>
      <c r="Q25" s="28">
        <f>8737-584</f>
        <v>8153</v>
      </c>
      <c r="R25" s="28">
        <f>43791-4386</f>
        <v>39405</v>
      </c>
      <c r="S25" s="28">
        <f t="shared" si="1"/>
        <v>47558</v>
      </c>
      <c r="T25" s="27"/>
      <c r="U25" s="24">
        <f t="shared" si="2"/>
        <v>16306</v>
      </c>
      <c r="V25" s="24">
        <f t="shared" si="3"/>
        <v>78810</v>
      </c>
      <c r="W25" s="28">
        <f t="shared" si="4"/>
        <v>95116</v>
      </c>
    </row>
    <row r="26" spans="1:23" s="19" customFormat="1" ht="29.25">
      <c r="A26" s="261" t="s">
        <v>7</v>
      </c>
      <c r="B26" s="25" t="s">
        <v>157</v>
      </c>
      <c r="C26" s="25" t="s">
        <v>158</v>
      </c>
      <c r="D26" s="25" t="s">
        <v>204</v>
      </c>
      <c r="E26" s="25">
        <v>25</v>
      </c>
      <c r="F26" s="25" t="s">
        <v>159</v>
      </c>
      <c r="G26" s="25" t="s">
        <v>158</v>
      </c>
      <c r="H26" s="538" t="s">
        <v>248</v>
      </c>
      <c r="I26" s="25">
        <v>83904477</v>
      </c>
      <c r="J26" s="226" t="s">
        <v>12</v>
      </c>
      <c r="K26" s="26">
        <v>5</v>
      </c>
      <c r="L26" s="27"/>
      <c r="M26" s="28">
        <f>1446-781</f>
        <v>665</v>
      </c>
      <c r="N26" s="28">
        <f>5926-3196</f>
        <v>2730</v>
      </c>
      <c r="O26" s="28">
        <f t="shared" si="0"/>
        <v>3395</v>
      </c>
      <c r="P26" s="27"/>
      <c r="Q26" s="28">
        <f>1446-781</f>
        <v>665</v>
      </c>
      <c r="R26" s="28">
        <f>5926-3196</f>
        <v>2730</v>
      </c>
      <c r="S26" s="28">
        <f t="shared" si="1"/>
        <v>3395</v>
      </c>
      <c r="T26" s="27"/>
      <c r="U26" s="24">
        <f t="shared" si="2"/>
        <v>1330</v>
      </c>
      <c r="V26" s="24">
        <f t="shared" si="3"/>
        <v>5460</v>
      </c>
      <c r="W26" s="28">
        <f t="shared" si="4"/>
        <v>6790</v>
      </c>
    </row>
    <row r="27" spans="1:23" s="19" customFormat="1" ht="29.25">
      <c r="A27" s="261" t="s">
        <v>7</v>
      </c>
      <c r="B27" s="25" t="s">
        <v>157</v>
      </c>
      <c r="C27" s="25" t="s">
        <v>158</v>
      </c>
      <c r="D27" s="25" t="s">
        <v>250</v>
      </c>
      <c r="E27" s="25">
        <v>46</v>
      </c>
      <c r="F27" s="25" t="s">
        <v>159</v>
      </c>
      <c r="G27" s="25" t="s">
        <v>158</v>
      </c>
      <c r="H27" s="538" t="s">
        <v>251</v>
      </c>
      <c r="I27" s="25">
        <v>96009284</v>
      </c>
      <c r="J27" s="226" t="s">
        <v>12</v>
      </c>
      <c r="K27" s="26">
        <v>6.6</v>
      </c>
      <c r="L27" s="27"/>
      <c r="M27" s="28">
        <f>4206-177</f>
        <v>4029</v>
      </c>
      <c r="N27" s="28">
        <f>18054-1026</f>
        <v>17028</v>
      </c>
      <c r="O27" s="28">
        <f t="shared" si="0"/>
        <v>21057</v>
      </c>
      <c r="P27" s="27"/>
      <c r="Q27" s="28">
        <f>4206-177</f>
        <v>4029</v>
      </c>
      <c r="R27" s="28">
        <f>18054-1026</f>
        <v>17028</v>
      </c>
      <c r="S27" s="28">
        <f t="shared" si="1"/>
        <v>21057</v>
      </c>
      <c r="T27" s="27"/>
      <c r="U27" s="24">
        <f t="shared" si="2"/>
        <v>8058</v>
      </c>
      <c r="V27" s="24">
        <f t="shared" si="3"/>
        <v>34056</v>
      </c>
      <c r="W27" s="28">
        <f t="shared" si="4"/>
        <v>42114</v>
      </c>
    </row>
    <row r="28" spans="1:23" s="19" customFormat="1" ht="29.25">
      <c r="A28" s="261" t="s">
        <v>7</v>
      </c>
      <c r="B28" s="25" t="s">
        <v>157</v>
      </c>
      <c r="C28" s="25" t="s">
        <v>158</v>
      </c>
      <c r="D28" s="25" t="s">
        <v>1431</v>
      </c>
      <c r="E28" s="25">
        <v>26</v>
      </c>
      <c r="F28" s="25" t="s">
        <v>159</v>
      </c>
      <c r="G28" s="25" t="s">
        <v>158</v>
      </c>
      <c r="H28" s="538" t="s">
        <v>256</v>
      </c>
      <c r="I28" s="25">
        <v>96009234</v>
      </c>
      <c r="J28" s="226" t="s">
        <v>12</v>
      </c>
      <c r="K28" s="26">
        <v>6.6</v>
      </c>
      <c r="L28" s="27"/>
      <c r="M28" s="28">
        <f>5271-136</f>
        <v>5135</v>
      </c>
      <c r="N28" s="28">
        <f>23376-1162</f>
        <v>22214</v>
      </c>
      <c r="O28" s="28">
        <f t="shared" si="0"/>
        <v>27349</v>
      </c>
      <c r="P28" s="27"/>
      <c r="Q28" s="28">
        <f>5271-136</f>
        <v>5135</v>
      </c>
      <c r="R28" s="28">
        <f>23376-1162</f>
        <v>22214</v>
      </c>
      <c r="S28" s="28">
        <f t="shared" si="1"/>
        <v>27349</v>
      </c>
      <c r="T28" s="27"/>
      <c r="U28" s="24">
        <f t="shared" si="2"/>
        <v>10270</v>
      </c>
      <c r="V28" s="24">
        <f t="shared" si="3"/>
        <v>44428</v>
      </c>
      <c r="W28" s="28">
        <f t="shared" si="4"/>
        <v>54698</v>
      </c>
    </row>
    <row r="29" spans="1:23" s="19" customFormat="1" ht="29.25">
      <c r="A29" s="261" t="s">
        <v>7</v>
      </c>
      <c r="B29" s="25" t="s">
        <v>157</v>
      </c>
      <c r="C29" s="25" t="s">
        <v>158</v>
      </c>
      <c r="D29" s="25" t="s">
        <v>1427</v>
      </c>
      <c r="E29" s="25">
        <v>2</v>
      </c>
      <c r="F29" s="25" t="s">
        <v>159</v>
      </c>
      <c r="G29" s="25" t="s">
        <v>158</v>
      </c>
      <c r="H29" s="538" t="s">
        <v>270</v>
      </c>
      <c r="I29" s="25">
        <v>70959729</v>
      </c>
      <c r="J29" s="226" t="s">
        <v>12</v>
      </c>
      <c r="K29" s="26">
        <v>8</v>
      </c>
      <c r="L29" s="27"/>
      <c r="M29" s="28">
        <f>38180-26484</f>
        <v>11696</v>
      </c>
      <c r="N29" s="28">
        <f>148475-130585</f>
        <v>17890</v>
      </c>
      <c r="O29" s="28">
        <f t="shared" si="0"/>
        <v>29586</v>
      </c>
      <c r="P29" s="27"/>
      <c r="Q29" s="28">
        <f>38180-26484</f>
        <v>11696</v>
      </c>
      <c r="R29" s="28">
        <f>148475-130585</f>
        <v>17890</v>
      </c>
      <c r="S29" s="28">
        <f t="shared" si="1"/>
        <v>29586</v>
      </c>
      <c r="T29" s="27"/>
      <c r="U29" s="24">
        <f t="shared" si="2"/>
        <v>23392</v>
      </c>
      <c r="V29" s="24">
        <f t="shared" si="3"/>
        <v>35780</v>
      </c>
      <c r="W29" s="28">
        <f t="shared" si="4"/>
        <v>59172</v>
      </c>
    </row>
    <row r="30" spans="1:23" s="19" customFormat="1" ht="29.25">
      <c r="A30" s="261" t="s">
        <v>7</v>
      </c>
      <c r="B30" s="25" t="s">
        <v>157</v>
      </c>
      <c r="C30" s="25" t="s">
        <v>158</v>
      </c>
      <c r="D30" s="25" t="s">
        <v>230</v>
      </c>
      <c r="E30" s="25">
        <v>21</v>
      </c>
      <c r="F30" s="25" t="s">
        <v>159</v>
      </c>
      <c r="G30" s="25" t="s">
        <v>158</v>
      </c>
      <c r="H30" s="538" t="s">
        <v>231</v>
      </c>
      <c r="I30" s="25">
        <v>96009279</v>
      </c>
      <c r="J30" s="226" t="s">
        <v>12</v>
      </c>
      <c r="K30" s="26">
        <v>4.3</v>
      </c>
      <c r="L30" s="27"/>
      <c r="M30" s="28">
        <f>3813-162</f>
        <v>3651</v>
      </c>
      <c r="N30" s="28">
        <f>16570-940</f>
        <v>15630</v>
      </c>
      <c r="O30" s="28">
        <f t="shared" si="0"/>
        <v>19281</v>
      </c>
      <c r="P30" s="27"/>
      <c r="Q30" s="28">
        <f>3813-162</f>
        <v>3651</v>
      </c>
      <c r="R30" s="28">
        <f>16570-940</f>
        <v>15630</v>
      </c>
      <c r="S30" s="28">
        <f t="shared" si="1"/>
        <v>19281</v>
      </c>
      <c r="T30" s="27"/>
      <c r="U30" s="24">
        <f t="shared" si="2"/>
        <v>7302</v>
      </c>
      <c r="V30" s="24">
        <f t="shared" si="3"/>
        <v>31260</v>
      </c>
      <c r="W30" s="28">
        <f t="shared" si="4"/>
        <v>38562</v>
      </c>
    </row>
    <row r="31" spans="1:23" s="19" customFormat="1" ht="29.25">
      <c r="A31" s="261" t="s">
        <v>7</v>
      </c>
      <c r="B31" s="25" t="s">
        <v>157</v>
      </c>
      <c r="C31" s="25" t="s">
        <v>158</v>
      </c>
      <c r="D31" s="25" t="s">
        <v>1426</v>
      </c>
      <c r="E31" s="25"/>
      <c r="F31" s="25" t="s">
        <v>159</v>
      </c>
      <c r="G31" s="25" t="s">
        <v>158</v>
      </c>
      <c r="H31" s="538" t="s">
        <v>220</v>
      </c>
      <c r="I31" s="25">
        <v>94882715</v>
      </c>
      <c r="J31" s="226" t="s">
        <v>12</v>
      </c>
      <c r="K31" s="26">
        <v>9.6</v>
      </c>
      <c r="L31" s="27"/>
      <c r="M31" s="28">
        <f>8699-216</f>
        <v>8483</v>
      </c>
      <c r="N31" s="28">
        <f>35049-1878</f>
        <v>33171</v>
      </c>
      <c r="O31" s="28">
        <f t="shared" si="0"/>
        <v>41654</v>
      </c>
      <c r="P31" s="27"/>
      <c r="Q31" s="28">
        <f>8699-216</f>
        <v>8483</v>
      </c>
      <c r="R31" s="28">
        <f>35049-1878</f>
        <v>33171</v>
      </c>
      <c r="S31" s="28">
        <f t="shared" si="1"/>
        <v>41654</v>
      </c>
      <c r="T31" s="27"/>
      <c r="U31" s="24">
        <f t="shared" si="2"/>
        <v>16966</v>
      </c>
      <c r="V31" s="24">
        <f t="shared" si="3"/>
        <v>66342</v>
      </c>
      <c r="W31" s="28">
        <f t="shared" si="4"/>
        <v>83308</v>
      </c>
    </row>
    <row r="32" spans="1:23" s="19" customFormat="1" ht="29.25">
      <c r="A32" s="261" t="s">
        <v>7</v>
      </c>
      <c r="B32" s="25" t="s">
        <v>157</v>
      </c>
      <c r="C32" s="25" t="s">
        <v>158</v>
      </c>
      <c r="D32" s="25" t="s">
        <v>218</v>
      </c>
      <c r="E32" s="25">
        <v>2</v>
      </c>
      <c r="F32" s="25" t="s">
        <v>159</v>
      </c>
      <c r="G32" s="25" t="s">
        <v>158</v>
      </c>
      <c r="H32" s="538" t="s">
        <v>219</v>
      </c>
      <c r="I32" s="25">
        <v>91469587</v>
      </c>
      <c r="J32" s="226" t="s">
        <v>12</v>
      </c>
      <c r="K32" s="26">
        <v>15</v>
      </c>
      <c r="L32" s="27"/>
      <c r="M32" s="28">
        <f>33578-20229</f>
        <v>13349</v>
      </c>
      <c r="N32" s="28">
        <f>131930-76560</f>
        <v>55370</v>
      </c>
      <c r="O32" s="28">
        <f t="shared" si="0"/>
        <v>68719</v>
      </c>
      <c r="P32" s="27"/>
      <c r="Q32" s="28">
        <f>33578-20229</f>
        <v>13349</v>
      </c>
      <c r="R32" s="28">
        <f>131930-76560</f>
        <v>55370</v>
      </c>
      <c r="S32" s="28">
        <f t="shared" si="1"/>
        <v>68719</v>
      </c>
      <c r="T32" s="27"/>
      <c r="U32" s="24">
        <f t="shared" si="2"/>
        <v>26698</v>
      </c>
      <c r="V32" s="24">
        <f t="shared" si="3"/>
        <v>110740</v>
      </c>
      <c r="W32" s="28">
        <f t="shared" si="4"/>
        <v>137438</v>
      </c>
    </row>
    <row r="33" spans="1:23" s="19" customFormat="1" ht="29.25">
      <c r="A33" s="261" t="s">
        <v>7</v>
      </c>
      <c r="B33" s="25" t="s">
        <v>157</v>
      </c>
      <c r="C33" s="25" t="s">
        <v>158</v>
      </c>
      <c r="D33" s="25" t="s">
        <v>194</v>
      </c>
      <c r="E33" s="25">
        <v>50</v>
      </c>
      <c r="F33" s="25" t="s">
        <v>159</v>
      </c>
      <c r="G33" s="25" t="s">
        <v>158</v>
      </c>
      <c r="H33" s="538" t="s">
        <v>249</v>
      </c>
      <c r="I33" s="25">
        <v>92953235</v>
      </c>
      <c r="J33" s="226" t="s">
        <v>12</v>
      </c>
      <c r="K33" s="26">
        <v>3</v>
      </c>
      <c r="L33" s="27"/>
      <c r="M33" s="28">
        <f>2398-586</f>
        <v>1812</v>
      </c>
      <c r="N33" s="28">
        <f>9445-1837</f>
        <v>7608</v>
      </c>
      <c r="O33" s="28">
        <f t="shared" si="0"/>
        <v>9420</v>
      </c>
      <c r="P33" s="27"/>
      <c r="Q33" s="28">
        <f>2398-586</f>
        <v>1812</v>
      </c>
      <c r="R33" s="28">
        <f>9445-1837</f>
        <v>7608</v>
      </c>
      <c r="S33" s="28">
        <f t="shared" si="1"/>
        <v>9420</v>
      </c>
      <c r="T33" s="27"/>
      <c r="U33" s="24">
        <f t="shared" si="2"/>
        <v>3624</v>
      </c>
      <c r="V33" s="24">
        <f t="shared" si="3"/>
        <v>15216</v>
      </c>
      <c r="W33" s="28">
        <f t="shared" si="4"/>
        <v>18840</v>
      </c>
    </row>
    <row r="34" spans="1:23" s="19" customFormat="1" ht="29.25">
      <c r="A34" s="261" t="s">
        <v>7</v>
      </c>
      <c r="B34" s="25" t="s">
        <v>157</v>
      </c>
      <c r="C34" s="25" t="s">
        <v>158</v>
      </c>
      <c r="D34" s="25" t="s">
        <v>377</v>
      </c>
      <c r="E34" s="25"/>
      <c r="F34" s="25" t="s">
        <v>159</v>
      </c>
      <c r="G34" s="25" t="s">
        <v>158</v>
      </c>
      <c r="H34" s="538" t="s">
        <v>233</v>
      </c>
      <c r="I34" s="25">
        <v>94807266</v>
      </c>
      <c r="J34" s="226" t="s">
        <v>12</v>
      </c>
      <c r="K34" s="26">
        <v>6.6</v>
      </c>
      <c r="L34" s="27"/>
      <c r="M34" s="28">
        <f>4910-1066</f>
        <v>3844</v>
      </c>
      <c r="N34" s="28">
        <f>16799-3162</f>
        <v>13637</v>
      </c>
      <c r="O34" s="28">
        <f t="shared" si="0"/>
        <v>17481</v>
      </c>
      <c r="P34" s="27"/>
      <c r="Q34" s="28">
        <f>4910-1066</f>
        <v>3844</v>
      </c>
      <c r="R34" s="28">
        <f>16799-3162</f>
        <v>13637</v>
      </c>
      <c r="S34" s="28">
        <f t="shared" si="1"/>
        <v>17481</v>
      </c>
      <c r="T34" s="27"/>
      <c r="U34" s="24">
        <f t="shared" si="2"/>
        <v>7688</v>
      </c>
      <c r="V34" s="24">
        <f t="shared" si="3"/>
        <v>27274</v>
      </c>
      <c r="W34" s="28">
        <f t="shared" si="4"/>
        <v>34962</v>
      </c>
    </row>
    <row r="35" spans="1:23" s="19" customFormat="1" ht="29.25">
      <c r="A35" s="261" t="s">
        <v>7</v>
      </c>
      <c r="B35" s="25" t="s">
        <v>157</v>
      </c>
      <c r="C35" s="25" t="s">
        <v>158</v>
      </c>
      <c r="D35" s="25" t="s">
        <v>1300</v>
      </c>
      <c r="E35" s="25">
        <v>25</v>
      </c>
      <c r="F35" s="25" t="s">
        <v>159</v>
      </c>
      <c r="G35" s="25" t="s">
        <v>158</v>
      </c>
      <c r="H35" s="538" t="s">
        <v>226</v>
      </c>
      <c r="I35" s="25">
        <v>94807035</v>
      </c>
      <c r="J35" s="226" t="s">
        <v>12</v>
      </c>
      <c r="K35" s="26">
        <v>7</v>
      </c>
      <c r="L35" s="27"/>
      <c r="M35" s="28">
        <f>18377-16510</f>
        <v>1867</v>
      </c>
      <c r="N35" s="28">
        <f>76484-68260</f>
        <v>8224</v>
      </c>
      <c r="O35" s="28">
        <f t="shared" si="0"/>
        <v>10091</v>
      </c>
      <c r="P35" s="27"/>
      <c r="Q35" s="28">
        <f>18377-16510</f>
        <v>1867</v>
      </c>
      <c r="R35" s="28">
        <f>76484-68260</f>
        <v>8224</v>
      </c>
      <c r="S35" s="28">
        <f t="shared" si="1"/>
        <v>10091</v>
      </c>
      <c r="T35" s="27"/>
      <c r="U35" s="24">
        <f t="shared" si="2"/>
        <v>3734</v>
      </c>
      <c r="V35" s="24">
        <f t="shared" si="3"/>
        <v>16448</v>
      </c>
      <c r="W35" s="28">
        <f t="shared" si="4"/>
        <v>20182</v>
      </c>
    </row>
    <row r="36" spans="1:23" s="19" customFormat="1" ht="29.25">
      <c r="A36" s="261" t="s">
        <v>7</v>
      </c>
      <c r="B36" s="25" t="s">
        <v>157</v>
      </c>
      <c r="C36" s="25" t="s">
        <v>158</v>
      </c>
      <c r="D36" s="25" t="s">
        <v>200</v>
      </c>
      <c r="E36" s="25"/>
      <c r="F36" s="25" t="s">
        <v>159</v>
      </c>
      <c r="G36" s="25" t="s">
        <v>158</v>
      </c>
      <c r="H36" s="538" t="s">
        <v>201</v>
      </c>
      <c r="I36" s="25">
        <v>117209</v>
      </c>
      <c r="J36" s="226" t="s">
        <v>12</v>
      </c>
      <c r="K36" s="26">
        <v>5</v>
      </c>
      <c r="L36" s="27"/>
      <c r="M36" s="28">
        <f>39402-31456</f>
        <v>7946</v>
      </c>
      <c r="N36" s="28">
        <f>119798-101378</f>
        <v>18420</v>
      </c>
      <c r="O36" s="28">
        <f t="shared" si="0"/>
        <v>26366</v>
      </c>
      <c r="P36" s="27"/>
      <c r="Q36" s="28">
        <f>39402-31456</f>
        <v>7946</v>
      </c>
      <c r="R36" s="28">
        <f>119798-101378</f>
        <v>18420</v>
      </c>
      <c r="S36" s="28">
        <f t="shared" si="1"/>
        <v>26366</v>
      </c>
      <c r="T36" s="27"/>
      <c r="U36" s="24">
        <f t="shared" si="2"/>
        <v>15892</v>
      </c>
      <c r="V36" s="24">
        <f t="shared" si="3"/>
        <v>36840</v>
      </c>
      <c r="W36" s="28">
        <f t="shared" si="4"/>
        <v>52732</v>
      </c>
    </row>
    <row r="37" spans="1:23" s="19" customFormat="1" ht="29.25">
      <c r="A37" s="261" t="s">
        <v>7</v>
      </c>
      <c r="B37" s="25" t="s">
        <v>157</v>
      </c>
      <c r="C37" s="25" t="s">
        <v>158</v>
      </c>
      <c r="D37" s="25" t="s">
        <v>176</v>
      </c>
      <c r="E37" s="25">
        <v>74</v>
      </c>
      <c r="F37" s="25" t="s">
        <v>159</v>
      </c>
      <c r="G37" s="25" t="s">
        <v>158</v>
      </c>
      <c r="H37" s="538" t="s">
        <v>183</v>
      </c>
      <c r="I37" s="25">
        <v>71859243</v>
      </c>
      <c r="J37" s="226" t="s">
        <v>12</v>
      </c>
      <c r="K37" s="26">
        <v>7.5</v>
      </c>
      <c r="L37" s="27"/>
      <c r="M37" s="28">
        <f>12676-7730</f>
        <v>4946</v>
      </c>
      <c r="N37" s="28">
        <f>40226-19076</f>
        <v>21150</v>
      </c>
      <c r="O37" s="28">
        <f t="shared" si="0"/>
        <v>26096</v>
      </c>
      <c r="P37" s="27"/>
      <c r="Q37" s="28">
        <f>12676-7730</f>
        <v>4946</v>
      </c>
      <c r="R37" s="28">
        <f>40226-19076</f>
        <v>21150</v>
      </c>
      <c r="S37" s="28">
        <f t="shared" si="1"/>
        <v>26096</v>
      </c>
      <c r="T37" s="27"/>
      <c r="U37" s="24">
        <f t="shared" si="2"/>
        <v>9892</v>
      </c>
      <c r="V37" s="24">
        <f t="shared" si="3"/>
        <v>42300</v>
      </c>
      <c r="W37" s="28">
        <f t="shared" si="4"/>
        <v>52192</v>
      </c>
    </row>
    <row r="38" spans="1:23" s="19" customFormat="1" ht="29.25">
      <c r="A38" s="261" t="s">
        <v>7</v>
      </c>
      <c r="B38" s="25" t="s">
        <v>157</v>
      </c>
      <c r="C38" s="25" t="s">
        <v>158</v>
      </c>
      <c r="D38" s="25" t="s">
        <v>190</v>
      </c>
      <c r="E38" s="25">
        <v>7</v>
      </c>
      <c r="F38" s="25" t="s">
        <v>159</v>
      </c>
      <c r="G38" s="25" t="s">
        <v>158</v>
      </c>
      <c r="H38" s="538" t="s">
        <v>191</v>
      </c>
      <c r="I38" s="25">
        <v>96009285</v>
      </c>
      <c r="J38" s="226" t="s">
        <v>12</v>
      </c>
      <c r="K38" s="26">
        <v>9</v>
      </c>
      <c r="L38" s="27"/>
      <c r="M38" s="28">
        <f>9698-420</f>
        <v>9278</v>
      </c>
      <c r="N38" s="28">
        <f>42900-2377</f>
        <v>40523</v>
      </c>
      <c r="O38" s="28">
        <f t="shared" si="0"/>
        <v>49801</v>
      </c>
      <c r="P38" s="27"/>
      <c r="Q38" s="28">
        <f>9698-420</f>
        <v>9278</v>
      </c>
      <c r="R38" s="28">
        <f>42900-2377</f>
        <v>40523</v>
      </c>
      <c r="S38" s="28">
        <f t="shared" si="1"/>
        <v>49801</v>
      </c>
      <c r="T38" s="27"/>
      <c r="U38" s="24">
        <f t="shared" si="2"/>
        <v>18556</v>
      </c>
      <c r="V38" s="24">
        <f t="shared" si="3"/>
        <v>81046</v>
      </c>
      <c r="W38" s="28">
        <f t="shared" si="4"/>
        <v>99602</v>
      </c>
    </row>
    <row r="39" spans="1:23" s="19" customFormat="1" ht="29.25">
      <c r="A39" s="261" t="s">
        <v>7</v>
      </c>
      <c r="B39" s="25" t="s">
        <v>157</v>
      </c>
      <c r="C39" s="25" t="s">
        <v>158</v>
      </c>
      <c r="D39" s="25" t="s">
        <v>168</v>
      </c>
      <c r="E39" s="25">
        <v>17</v>
      </c>
      <c r="F39" s="25" t="s">
        <v>159</v>
      </c>
      <c r="G39" s="25" t="s">
        <v>158</v>
      </c>
      <c r="H39" s="538" t="s">
        <v>169</v>
      </c>
      <c r="I39" s="25">
        <v>90054255</v>
      </c>
      <c r="J39" s="226" t="s">
        <v>12</v>
      </c>
      <c r="K39" s="26">
        <v>3.6</v>
      </c>
      <c r="L39" s="27"/>
      <c r="M39" s="28">
        <f>12649-7590</f>
        <v>5059</v>
      </c>
      <c r="N39" s="28">
        <f>39536-19395</f>
        <v>20141</v>
      </c>
      <c r="O39" s="28">
        <f t="shared" si="0"/>
        <v>25200</v>
      </c>
      <c r="P39" s="27"/>
      <c r="Q39" s="28">
        <f>12649-7590</f>
        <v>5059</v>
      </c>
      <c r="R39" s="28">
        <f>39536-19395</f>
        <v>20141</v>
      </c>
      <c r="S39" s="28">
        <f t="shared" si="1"/>
        <v>25200</v>
      </c>
      <c r="T39" s="27"/>
      <c r="U39" s="24">
        <f t="shared" si="2"/>
        <v>10118</v>
      </c>
      <c r="V39" s="24">
        <f t="shared" si="3"/>
        <v>40282</v>
      </c>
      <c r="W39" s="28">
        <f t="shared" si="4"/>
        <v>50400</v>
      </c>
    </row>
    <row r="40" spans="1:23" s="19" customFormat="1" ht="29.25">
      <c r="A40" s="261" t="s">
        <v>7</v>
      </c>
      <c r="B40" s="25" t="s">
        <v>157</v>
      </c>
      <c r="C40" s="25" t="s">
        <v>158</v>
      </c>
      <c r="D40" s="25" t="s">
        <v>271</v>
      </c>
      <c r="E40" s="25"/>
      <c r="F40" s="25" t="s">
        <v>159</v>
      </c>
      <c r="G40" s="25" t="s">
        <v>158</v>
      </c>
      <c r="H40" s="538" t="s">
        <v>272</v>
      </c>
      <c r="I40" s="25">
        <v>91297151</v>
      </c>
      <c r="J40" s="226" t="s">
        <v>12</v>
      </c>
      <c r="K40" s="26">
        <v>7.3</v>
      </c>
      <c r="L40" s="27"/>
      <c r="M40" s="28">
        <f>19049-13981</f>
        <v>5068</v>
      </c>
      <c r="N40" s="28">
        <f>78249-56055</f>
        <v>22194</v>
      </c>
      <c r="O40" s="28">
        <f t="shared" si="0"/>
        <v>27262</v>
      </c>
      <c r="P40" s="27"/>
      <c r="Q40" s="28">
        <f>19049-13981</f>
        <v>5068</v>
      </c>
      <c r="R40" s="28">
        <f>78249-56055</f>
        <v>22194</v>
      </c>
      <c r="S40" s="28">
        <f t="shared" si="1"/>
        <v>27262</v>
      </c>
      <c r="T40" s="27"/>
      <c r="U40" s="24">
        <f t="shared" si="2"/>
        <v>10136</v>
      </c>
      <c r="V40" s="24">
        <f t="shared" si="3"/>
        <v>44388</v>
      </c>
      <c r="W40" s="28">
        <f t="shared" si="4"/>
        <v>54524</v>
      </c>
    </row>
    <row r="41" spans="1:23" s="19" customFormat="1" ht="29.25">
      <c r="A41" s="261" t="s">
        <v>7</v>
      </c>
      <c r="B41" s="25" t="s">
        <v>157</v>
      </c>
      <c r="C41" s="25" t="s">
        <v>158</v>
      </c>
      <c r="D41" s="25" t="s">
        <v>204</v>
      </c>
      <c r="E41" s="25"/>
      <c r="F41" s="25" t="s">
        <v>159</v>
      </c>
      <c r="G41" s="25" t="s">
        <v>158</v>
      </c>
      <c r="H41" s="538" t="s">
        <v>240</v>
      </c>
      <c r="I41" s="25">
        <v>94977134</v>
      </c>
      <c r="J41" s="226" t="s">
        <v>12</v>
      </c>
      <c r="K41" s="26">
        <v>30</v>
      </c>
      <c r="L41" s="27"/>
      <c r="M41" s="28">
        <f>13609-573</f>
        <v>13036</v>
      </c>
      <c r="N41" s="28">
        <f>54780-4141</f>
        <v>50639</v>
      </c>
      <c r="O41" s="28">
        <f t="shared" si="0"/>
        <v>63675</v>
      </c>
      <c r="P41" s="27"/>
      <c r="Q41" s="28">
        <f>13609-573</f>
        <v>13036</v>
      </c>
      <c r="R41" s="28">
        <f>54780-4141</f>
        <v>50639</v>
      </c>
      <c r="S41" s="28">
        <f t="shared" si="1"/>
        <v>63675</v>
      </c>
      <c r="T41" s="27"/>
      <c r="U41" s="24">
        <f t="shared" si="2"/>
        <v>26072</v>
      </c>
      <c r="V41" s="24">
        <f t="shared" si="3"/>
        <v>101278</v>
      </c>
      <c r="W41" s="28">
        <f t="shared" si="4"/>
        <v>127350</v>
      </c>
    </row>
    <row r="42" spans="1:23" s="19" customFormat="1" ht="29.25">
      <c r="A42" s="261" t="s">
        <v>7</v>
      </c>
      <c r="B42" s="25" t="s">
        <v>157</v>
      </c>
      <c r="C42" s="25" t="s">
        <v>158</v>
      </c>
      <c r="D42" s="25" t="s">
        <v>208</v>
      </c>
      <c r="E42" s="25"/>
      <c r="F42" s="25" t="s">
        <v>159</v>
      </c>
      <c r="G42" s="25" t="s">
        <v>158</v>
      </c>
      <c r="H42" s="538" t="s">
        <v>209</v>
      </c>
      <c r="I42" s="25">
        <v>94977132</v>
      </c>
      <c r="J42" s="226" t="s">
        <v>12</v>
      </c>
      <c r="K42" s="26">
        <v>6.6</v>
      </c>
      <c r="L42" s="27"/>
      <c r="M42" s="28">
        <f>25158-21957</f>
        <v>3201</v>
      </c>
      <c r="N42" s="28">
        <f>113344-98358</f>
        <v>14986</v>
      </c>
      <c r="O42" s="28">
        <f t="shared" si="0"/>
        <v>18187</v>
      </c>
      <c r="P42" s="27"/>
      <c r="Q42" s="28">
        <f>25158-21957</f>
        <v>3201</v>
      </c>
      <c r="R42" s="28">
        <f>113344-98358</f>
        <v>14986</v>
      </c>
      <c r="S42" s="28">
        <f t="shared" si="1"/>
        <v>18187</v>
      </c>
      <c r="T42" s="27"/>
      <c r="U42" s="24">
        <f t="shared" si="2"/>
        <v>6402</v>
      </c>
      <c r="V42" s="24">
        <f t="shared" si="3"/>
        <v>29972</v>
      </c>
      <c r="W42" s="28">
        <f t="shared" si="4"/>
        <v>36374</v>
      </c>
    </row>
    <row r="43" spans="1:23" s="19" customFormat="1" ht="29.25">
      <c r="A43" s="261" t="s">
        <v>7</v>
      </c>
      <c r="B43" s="25" t="s">
        <v>157</v>
      </c>
      <c r="C43" s="25" t="s">
        <v>158</v>
      </c>
      <c r="D43" s="25" t="s">
        <v>1432</v>
      </c>
      <c r="E43" s="25">
        <v>22</v>
      </c>
      <c r="F43" s="25" t="s">
        <v>159</v>
      </c>
      <c r="G43" s="25" t="s">
        <v>158</v>
      </c>
      <c r="H43" s="538" t="s">
        <v>258</v>
      </c>
      <c r="I43" s="25">
        <v>96009226</v>
      </c>
      <c r="J43" s="226" t="s">
        <v>12</v>
      </c>
      <c r="K43" s="26">
        <v>6.6</v>
      </c>
      <c r="L43" s="27"/>
      <c r="M43" s="28">
        <f>5478-122</f>
        <v>5356</v>
      </c>
      <c r="N43" s="28">
        <f>22814-1063</f>
        <v>21751</v>
      </c>
      <c r="O43" s="28">
        <f t="shared" si="0"/>
        <v>27107</v>
      </c>
      <c r="P43" s="27"/>
      <c r="Q43" s="28">
        <f>5478-122</f>
        <v>5356</v>
      </c>
      <c r="R43" s="28">
        <f>22814-1063</f>
        <v>21751</v>
      </c>
      <c r="S43" s="28">
        <f t="shared" si="1"/>
        <v>27107</v>
      </c>
      <c r="T43" s="27"/>
      <c r="U43" s="24">
        <f t="shared" si="2"/>
        <v>10712</v>
      </c>
      <c r="V43" s="24">
        <f t="shared" si="3"/>
        <v>43502</v>
      </c>
      <c r="W43" s="28">
        <f t="shared" si="4"/>
        <v>54214</v>
      </c>
    </row>
    <row r="44" spans="1:23" s="19" customFormat="1" ht="29.25">
      <c r="A44" s="261" t="s">
        <v>7</v>
      </c>
      <c r="B44" s="25" t="s">
        <v>157</v>
      </c>
      <c r="C44" s="25" t="s">
        <v>158</v>
      </c>
      <c r="D44" s="25" t="s">
        <v>164</v>
      </c>
      <c r="E44" s="25">
        <v>16</v>
      </c>
      <c r="F44" s="25" t="s">
        <v>159</v>
      </c>
      <c r="G44" s="25" t="s">
        <v>158</v>
      </c>
      <c r="H44" s="538" t="s">
        <v>165</v>
      </c>
      <c r="I44" s="25">
        <v>94977130</v>
      </c>
      <c r="J44" s="226" t="s">
        <v>12</v>
      </c>
      <c r="K44" s="26">
        <v>8</v>
      </c>
      <c r="L44" s="27"/>
      <c r="M44" s="28">
        <f>7048-286</f>
        <v>6762</v>
      </c>
      <c r="N44" s="28">
        <f>28499-1779</f>
        <v>26720</v>
      </c>
      <c r="O44" s="28">
        <f t="shared" si="0"/>
        <v>33482</v>
      </c>
      <c r="P44" s="27"/>
      <c r="Q44" s="28">
        <f>7048-286</f>
        <v>6762</v>
      </c>
      <c r="R44" s="28">
        <f>28499-1779</f>
        <v>26720</v>
      </c>
      <c r="S44" s="28">
        <f t="shared" si="1"/>
        <v>33482</v>
      </c>
      <c r="T44" s="27"/>
      <c r="U44" s="24">
        <f t="shared" si="2"/>
        <v>13524</v>
      </c>
      <c r="V44" s="24">
        <f t="shared" si="3"/>
        <v>53440</v>
      </c>
      <c r="W44" s="28">
        <f t="shared" si="4"/>
        <v>66964</v>
      </c>
    </row>
    <row r="45" spans="1:23" s="19" customFormat="1" ht="29.25">
      <c r="A45" s="261" t="s">
        <v>7</v>
      </c>
      <c r="B45" s="25" t="s">
        <v>157</v>
      </c>
      <c r="C45" s="25" t="s">
        <v>158</v>
      </c>
      <c r="D45" s="25" t="s">
        <v>204</v>
      </c>
      <c r="E45" s="25">
        <v>139</v>
      </c>
      <c r="F45" s="25" t="s">
        <v>159</v>
      </c>
      <c r="G45" s="25" t="s">
        <v>158</v>
      </c>
      <c r="H45" s="538" t="s">
        <v>205</v>
      </c>
      <c r="I45" s="25">
        <v>91300956</v>
      </c>
      <c r="J45" s="226" t="s">
        <v>12</v>
      </c>
      <c r="K45" s="26">
        <v>6.6</v>
      </c>
      <c r="L45" s="27"/>
      <c r="M45" s="28">
        <f>27792-17672</f>
        <v>10120</v>
      </c>
      <c r="N45" s="28">
        <f>108132-60346</f>
        <v>47786</v>
      </c>
      <c r="O45" s="28">
        <f t="shared" si="0"/>
        <v>57906</v>
      </c>
      <c r="P45" s="27"/>
      <c r="Q45" s="28">
        <f>27792-17672</f>
        <v>10120</v>
      </c>
      <c r="R45" s="28">
        <f>108132-60346</f>
        <v>47786</v>
      </c>
      <c r="S45" s="28">
        <f t="shared" si="1"/>
        <v>57906</v>
      </c>
      <c r="T45" s="27"/>
      <c r="U45" s="24">
        <f t="shared" si="2"/>
        <v>20240</v>
      </c>
      <c r="V45" s="24">
        <f t="shared" si="3"/>
        <v>95572</v>
      </c>
      <c r="W45" s="28">
        <f t="shared" si="4"/>
        <v>115812</v>
      </c>
    </row>
    <row r="46" spans="1:23" s="19" customFormat="1" ht="29.25">
      <c r="A46" s="261" t="s">
        <v>7</v>
      </c>
      <c r="B46" s="25" t="s">
        <v>157</v>
      </c>
      <c r="C46" s="25" t="s">
        <v>158</v>
      </c>
      <c r="D46" s="25" t="s">
        <v>1420</v>
      </c>
      <c r="E46" s="25" t="s">
        <v>161</v>
      </c>
      <c r="F46" s="25" t="s">
        <v>159</v>
      </c>
      <c r="G46" s="25" t="s">
        <v>158</v>
      </c>
      <c r="H46" s="538" t="s">
        <v>162</v>
      </c>
      <c r="I46" s="25">
        <v>94882729</v>
      </c>
      <c r="J46" s="226" t="s">
        <v>12</v>
      </c>
      <c r="K46" s="26">
        <v>9</v>
      </c>
      <c r="L46" s="27"/>
      <c r="M46" s="28">
        <f>8375-216</f>
        <v>8159</v>
      </c>
      <c r="N46" s="28">
        <f>34604-1828</f>
        <v>32776</v>
      </c>
      <c r="O46" s="28">
        <f t="shared" si="0"/>
        <v>40935</v>
      </c>
      <c r="P46" s="27"/>
      <c r="Q46" s="28">
        <f>8375-216</f>
        <v>8159</v>
      </c>
      <c r="R46" s="28">
        <f>34604-1828</f>
        <v>32776</v>
      </c>
      <c r="S46" s="28">
        <f t="shared" si="1"/>
        <v>40935</v>
      </c>
      <c r="T46" s="27"/>
      <c r="U46" s="24">
        <f t="shared" si="2"/>
        <v>16318</v>
      </c>
      <c r="V46" s="24">
        <f t="shared" si="3"/>
        <v>65552</v>
      </c>
      <c r="W46" s="28">
        <f t="shared" si="4"/>
        <v>81870</v>
      </c>
    </row>
    <row r="47" spans="1:23" s="19" customFormat="1" ht="29.25">
      <c r="A47" s="261" t="s">
        <v>7</v>
      </c>
      <c r="B47" s="25" t="s">
        <v>157</v>
      </c>
      <c r="C47" s="25" t="s">
        <v>158</v>
      </c>
      <c r="D47" s="25" t="s">
        <v>186</v>
      </c>
      <c r="E47" s="25">
        <v>50</v>
      </c>
      <c r="F47" s="25" t="s">
        <v>159</v>
      </c>
      <c r="G47" s="25" t="s">
        <v>158</v>
      </c>
      <c r="H47" s="538" t="s">
        <v>187</v>
      </c>
      <c r="I47" s="25">
        <v>96023914</v>
      </c>
      <c r="J47" s="226" t="s">
        <v>12</v>
      </c>
      <c r="K47" s="26">
        <v>8.5</v>
      </c>
      <c r="L47" s="27"/>
      <c r="M47" s="28">
        <f>37439-32907</f>
        <v>4532</v>
      </c>
      <c r="N47" s="28">
        <f>169678-147220</f>
        <v>22458</v>
      </c>
      <c r="O47" s="28">
        <f t="shared" si="0"/>
        <v>26990</v>
      </c>
      <c r="P47" s="27"/>
      <c r="Q47" s="28">
        <f>37439-32907</f>
        <v>4532</v>
      </c>
      <c r="R47" s="28">
        <f>169678-147220</f>
        <v>22458</v>
      </c>
      <c r="S47" s="28">
        <f t="shared" si="1"/>
        <v>26990</v>
      </c>
      <c r="T47" s="27"/>
      <c r="U47" s="24">
        <f t="shared" si="2"/>
        <v>9064</v>
      </c>
      <c r="V47" s="24">
        <f t="shared" si="3"/>
        <v>44916</v>
      </c>
      <c r="W47" s="28">
        <f t="shared" si="4"/>
        <v>53980</v>
      </c>
    </row>
    <row r="48" spans="1:23" s="19" customFormat="1" ht="29.25">
      <c r="A48" s="261" t="s">
        <v>7</v>
      </c>
      <c r="B48" s="25" t="s">
        <v>157</v>
      </c>
      <c r="C48" s="25" t="s">
        <v>158</v>
      </c>
      <c r="D48" s="25" t="s">
        <v>265</v>
      </c>
      <c r="E48" s="25">
        <v>14</v>
      </c>
      <c r="F48" s="25" t="s">
        <v>159</v>
      </c>
      <c r="G48" s="25" t="s">
        <v>158</v>
      </c>
      <c r="H48" s="538" t="s">
        <v>266</v>
      </c>
      <c r="I48" s="25">
        <v>90107913</v>
      </c>
      <c r="J48" s="226" t="s">
        <v>12</v>
      </c>
      <c r="K48" s="26">
        <v>1.5</v>
      </c>
      <c r="L48" s="27"/>
      <c r="M48" s="28">
        <f>16757-13575</f>
        <v>3182</v>
      </c>
      <c r="N48" s="28">
        <f>26916-13425</f>
        <v>13491</v>
      </c>
      <c r="O48" s="28">
        <f t="shared" si="0"/>
        <v>16673</v>
      </c>
      <c r="P48" s="27"/>
      <c r="Q48" s="28">
        <f>16757-13575</f>
        <v>3182</v>
      </c>
      <c r="R48" s="28">
        <f>26916-13425</f>
        <v>13491</v>
      </c>
      <c r="S48" s="28">
        <f t="shared" si="1"/>
        <v>16673</v>
      </c>
      <c r="T48" s="27"/>
      <c r="U48" s="24">
        <f t="shared" si="2"/>
        <v>6364</v>
      </c>
      <c r="V48" s="24">
        <f t="shared" si="3"/>
        <v>26982</v>
      </c>
      <c r="W48" s="28">
        <f t="shared" si="4"/>
        <v>33346</v>
      </c>
    </row>
    <row r="49" spans="1:23" s="19" customFormat="1" ht="29.25">
      <c r="A49" s="261" t="s">
        <v>7</v>
      </c>
      <c r="B49" s="25" t="s">
        <v>157</v>
      </c>
      <c r="C49" s="25" t="s">
        <v>158</v>
      </c>
      <c r="D49" s="25" t="s">
        <v>1419</v>
      </c>
      <c r="E49" s="25">
        <v>20</v>
      </c>
      <c r="F49" s="25" t="s">
        <v>159</v>
      </c>
      <c r="G49" s="25" t="s">
        <v>158</v>
      </c>
      <c r="H49" s="538" t="s">
        <v>160</v>
      </c>
      <c r="I49" s="25">
        <v>94807025</v>
      </c>
      <c r="J49" s="226" t="s">
        <v>12</v>
      </c>
      <c r="K49" s="26">
        <v>13</v>
      </c>
      <c r="L49" s="27"/>
      <c r="M49" s="28">
        <f>10048-250</f>
        <v>9798</v>
      </c>
      <c r="N49" s="28">
        <f>37726-2117</f>
        <v>35609</v>
      </c>
      <c r="O49" s="28">
        <f t="shared" si="0"/>
        <v>45407</v>
      </c>
      <c r="P49" s="27"/>
      <c r="Q49" s="28">
        <f>10048-250</f>
        <v>9798</v>
      </c>
      <c r="R49" s="28">
        <f>37726-2117</f>
        <v>35609</v>
      </c>
      <c r="S49" s="28">
        <f t="shared" si="1"/>
        <v>45407</v>
      </c>
      <c r="T49" s="27"/>
      <c r="U49" s="24">
        <f t="shared" si="2"/>
        <v>19596</v>
      </c>
      <c r="V49" s="24">
        <f t="shared" si="3"/>
        <v>71218</v>
      </c>
      <c r="W49" s="28">
        <f t="shared" si="4"/>
        <v>90814</v>
      </c>
    </row>
    <row r="50" spans="1:23" s="19" customFormat="1" ht="29.25">
      <c r="A50" s="261" t="s">
        <v>7</v>
      </c>
      <c r="B50" s="25" t="s">
        <v>157</v>
      </c>
      <c r="C50" s="25" t="s">
        <v>158</v>
      </c>
      <c r="D50" s="25" t="s">
        <v>166</v>
      </c>
      <c r="E50" s="25">
        <v>3</v>
      </c>
      <c r="F50" s="25" t="s">
        <v>159</v>
      </c>
      <c r="G50" s="25" t="s">
        <v>158</v>
      </c>
      <c r="H50" s="538" t="s">
        <v>167</v>
      </c>
      <c r="I50" s="25">
        <v>91419332</v>
      </c>
      <c r="J50" s="226" t="s">
        <v>12</v>
      </c>
      <c r="K50" s="26">
        <v>6.6</v>
      </c>
      <c r="L50" s="27"/>
      <c r="M50" s="28">
        <f>7026-4700</f>
        <v>2326</v>
      </c>
      <c r="N50" s="28">
        <f>26666-17923</f>
        <v>8743</v>
      </c>
      <c r="O50" s="28">
        <f t="shared" si="0"/>
        <v>11069</v>
      </c>
      <c r="P50" s="27"/>
      <c r="Q50" s="28">
        <f>7026-4700</f>
        <v>2326</v>
      </c>
      <c r="R50" s="28">
        <f>26666-17923</f>
        <v>8743</v>
      </c>
      <c r="S50" s="28">
        <f t="shared" si="1"/>
        <v>11069</v>
      </c>
      <c r="T50" s="27"/>
      <c r="U50" s="24">
        <f t="shared" si="2"/>
        <v>4652</v>
      </c>
      <c r="V50" s="24">
        <f t="shared" si="3"/>
        <v>17486</v>
      </c>
      <c r="W50" s="28">
        <f t="shared" si="4"/>
        <v>22138</v>
      </c>
    </row>
    <row r="51" spans="1:23" s="19" customFormat="1" ht="29.25">
      <c r="A51" s="261" t="s">
        <v>7</v>
      </c>
      <c r="B51" s="25" t="s">
        <v>157</v>
      </c>
      <c r="C51" s="25" t="s">
        <v>158</v>
      </c>
      <c r="D51" s="25" t="s">
        <v>1421</v>
      </c>
      <c r="E51" s="25">
        <v>26</v>
      </c>
      <c r="F51" s="25" t="s">
        <v>159</v>
      </c>
      <c r="G51" s="25" t="s">
        <v>158</v>
      </c>
      <c r="H51" s="538" t="s">
        <v>175</v>
      </c>
      <c r="I51" s="25">
        <v>94658790</v>
      </c>
      <c r="J51" s="226" t="s">
        <v>12</v>
      </c>
      <c r="K51" s="26">
        <v>6.6</v>
      </c>
      <c r="L51" s="27"/>
      <c r="M51" s="28">
        <f>22040-19434</f>
        <v>2606</v>
      </c>
      <c r="N51" s="28">
        <f>100484-88236</f>
        <v>12248</v>
      </c>
      <c r="O51" s="28">
        <f t="shared" si="0"/>
        <v>14854</v>
      </c>
      <c r="P51" s="27"/>
      <c r="Q51" s="28">
        <f>22040-19434</f>
        <v>2606</v>
      </c>
      <c r="R51" s="28">
        <f>100484-88236</f>
        <v>12248</v>
      </c>
      <c r="S51" s="28">
        <f t="shared" si="1"/>
        <v>14854</v>
      </c>
      <c r="T51" s="27"/>
      <c r="U51" s="24">
        <f t="shared" si="2"/>
        <v>5212</v>
      </c>
      <c r="V51" s="24">
        <f t="shared" si="3"/>
        <v>24496</v>
      </c>
      <c r="W51" s="28">
        <f t="shared" si="4"/>
        <v>29708</v>
      </c>
    </row>
    <row r="52" spans="1:23" s="19" customFormat="1" ht="29.25">
      <c r="A52" s="261" t="s">
        <v>7</v>
      </c>
      <c r="B52" s="25" t="s">
        <v>157</v>
      </c>
      <c r="C52" s="25" t="s">
        <v>158</v>
      </c>
      <c r="D52" s="25" t="s">
        <v>1425</v>
      </c>
      <c r="E52" s="25">
        <v>12</v>
      </c>
      <c r="F52" s="25" t="s">
        <v>159</v>
      </c>
      <c r="G52" s="25" t="s">
        <v>158</v>
      </c>
      <c r="H52" s="538" t="s">
        <v>211</v>
      </c>
      <c r="I52" s="25">
        <v>96009290</v>
      </c>
      <c r="J52" s="226" t="s">
        <v>12</v>
      </c>
      <c r="K52" s="26">
        <v>3.8</v>
      </c>
      <c r="L52" s="27"/>
      <c r="M52" s="28">
        <f>3898-169</f>
        <v>3729</v>
      </c>
      <c r="N52" s="28">
        <f>17020-969</f>
        <v>16051</v>
      </c>
      <c r="O52" s="28">
        <f t="shared" si="0"/>
        <v>19780</v>
      </c>
      <c r="P52" s="27"/>
      <c r="Q52" s="28">
        <f>3898-169</f>
        <v>3729</v>
      </c>
      <c r="R52" s="28">
        <f>17020-969</f>
        <v>16051</v>
      </c>
      <c r="S52" s="28">
        <f t="shared" si="1"/>
        <v>19780</v>
      </c>
      <c r="T52" s="27"/>
      <c r="U52" s="24">
        <f t="shared" si="2"/>
        <v>7458</v>
      </c>
      <c r="V52" s="24">
        <f t="shared" si="3"/>
        <v>32102</v>
      </c>
      <c r="W52" s="28">
        <f t="shared" si="4"/>
        <v>39560</v>
      </c>
    </row>
    <row r="53" spans="1:23" s="19" customFormat="1" ht="29.25">
      <c r="A53" s="261" t="s">
        <v>7</v>
      </c>
      <c r="B53" s="25" t="s">
        <v>157</v>
      </c>
      <c r="C53" s="25" t="s">
        <v>158</v>
      </c>
      <c r="D53" s="25" t="s">
        <v>1423</v>
      </c>
      <c r="E53" s="25"/>
      <c r="F53" s="25" t="s">
        <v>159</v>
      </c>
      <c r="G53" s="25" t="s">
        <v>158</v>
      </c>
      <c r="H53" s="538" t="s">
        <v>203</v>
      </c>
      <c r="I53" s="25">
        <v>94977133</v>
      </c>
      <c r="J53" s="226" t="s">
        <v>12</v>
      </c>
      <c r="K53" s="26">
        <v>10.5</v>
      </c>
      <c r="L53" s="27"/>
      <c r="M53" s="28">
        <f>7381-250</f>
        <v>7131</v>
      </c>
      <c r="N53" s="28">
        <f>27767-1500</f>
        <v>26267</v>
      </c>
      <c r="O53" s="28">
        <f t="shared" si="0"/>
        <v>33398</v>
      </c>
      <c r="P53" s="27"/>
      <c r="Q53" s="28">
        <f>7381-250</f>
        <v>7131</v>
      </c>
      <c r="R53" s="28">
        <f>27767-1500</f>
        <v>26267</v>
      </c>
      <c r="S53" s="28">
        <f t="shared" si="1"/>
        <v>33398</v>
      </c>
      <c r="T53" s="27"/>
      <c r="U53" s="24">
        <f t="shared" si="2"/>
        <v>14262</v>
      </c>
      <c r="V53" s="24">
        <f t="shared" si="3"/>
        <v>52534</v>
      </c>
      <c r="W53" s="28">
        <f t="shared" si="4"/>
        <v>66796</v>
      </c>
    </row>
    <row r="54" spans="1:23" s="19" customFormat="1" ht="29.25">
      <c r="A54" s="261" t="s">
        <v>7</v>
      </c>
      <c r="B54" s="25" t="s">
        <v>157</v>
      </c>
      <c r="C54" s="25" t="s">
        <v>158</v>
      </c>
      <c r="D54" s="25" t="s">
        <v>1423</v>
      </c>
      <c r="E54" s="25">
        <v>46</v>
      </c>
      <c r="F54" s="25" t="s">
        <v>159</v>
      </c>
      <c r="G54" s="25" t="s">
        <v>158</v>
      </c>
      <c r="H54" s="538" t="s">
        <v>202</v>
      </c>
      <c r="I54" s="25">
        <v>318099</v>
      </c>
      <c r="J54" s="226" t="s">
        <v>12</v>
      </c>
      <c r="K54" s="26">
        <v>8</v>
      </c>
      <c r="L54" s="27"/>
      <c r="M54" s="28">
        <f>13492-11512</f>
        <v>1980</v>
      </c>
      <c r="N54" s="28">
        <f>139066-118691</f>
        <v>20375</v>
      </c>
      <c r="O54" s="28">
        <f t="shared" si="0"/>
        <v>22355</v>
      </c>
      <c r="P54" s="27"/>
      <c r="Q54" s="28">
        <f>13492-11512</f>
        <v>1980</v>
      </c>
      <c r="R54" s="28">
        <f>139066-118691</f>
        <v>20375</v>
      </c>
      <c r="S54" s="28">
        <f t="shared" si="1"/>
        <v>22355</v>
      </c>
      <c r="T54" s="27"/>
      <c r="U54" s="24">
        <f t="shared" si="2"/>
        <v>3960</v>
      </c>
      <c r="V54" s="24">
        <f t="shared" si="3"/>
        <v>40750</v>
      </c>
      <c r="W54" s="28">
        <f t="shared" si="4"/>
        <v>44710</v>
      </c>
    </row>
    <row r="55" spans="1:23" s="19" customFormat="1" ht="29.25">
      <c r="A55" s="261" t="s">
        <v>7</v>
      </c>
      <c r="B55" s="25" t="s">
        <v>157</v>
      </c>
      <c r="C55" s="25" t="s">
        <v>158</v>
      </c>
      <c r="D55" s="25" t="s">
        <v>1427</v>
      </c>
      <c r="E55" s="25">
        <v>1</v>
      </c>
      <c r="F55" s="25" t="s">
        <v>159</v>
      </c>
      <c r="G55" s="25" t="s">
        <v>158</v>
      </c>
      <c r="H55" s="538" t="s">
        <v>221</v>
      </c>
      <c r="I55" s="25">
        <v>96241248</v>
      </c>
      <c r="J55" s="226" t="s">
        <v>12</v>
      </c>
      <c r="K55" s="26">
        <v>18.5</v>
      </c>
      <c r="L55" s="27"/>
      <c r="M55" s="28">
        <f>92771-81004</f>
        <v>11767</v>
      </c>
      <c r="N55" s="28">
        <f>420904-363160</f>
        <v>57744</v>
      </c>
      <c r="O55" s="28">
        <f t="shared" si="0"/>
        <v>69511</v>
      </c>
      <c r="P55" s="27"/>
      <c r="Q55" s="28">
        <f>92771-81004</f>
        <v>11767</v>
      </c>
      <c r="R55" s="28">
        <f>420904-363160</f>
        <v>57744</v>
      </c>
      <c r="S55" s="28">
        <f t="shared" si="1"/>
        <v>69511</v>
      </c>
      <c r="T55" s="27"/>
      <c r="U55" s="24">
        <f t="shared" si="2"/>
        <v>23534</v>
      </c>
      <c r="V55" s="24">
        <f t="shared" si="3"/>
        <v>115488</v>
      </c>
      <c r="W55" s="28">
        <f t="shared" si="4"/>
        <v>139022</v>
      </c>
    </row>
    <row r="56" spans="1:23" s="19" customFormat="1" ht="29.25">
      <c r="A56" s="261" t="s">
        <v>7</v>
      </c>
      <c r="B56" s="25" t="s">
        <v>157</v>
      </c>
      <c r="C56" s="25" t="s">
        <v>158</v>
      </c>
      <c r="D56" s="25" t="s">
        <v>204</v>
      </c>
      <c r="E56" s="25"/>
      <c r="F56" s="25" t="s">
        <v>159</v>
      </c>
      <c r="G56" s="25" t="s">
        <v>158</v>
      </c>
      <c r="H56" s="538" t="s">
        <v>172</v>
      </c>
      <c r="I56" s="25">
        <v>94356660</v>
      </c>
      <c r="J56" s="226" t="s">
        <v>12</v>
      </c>
      <c r="K56" s="26">
        <v>10</v>
      </c>
      <c r="L56" s="27"/>
      <c r="M56" s="28">
        <f>14693-7312</f>
        <v>7381</v>
      </c>
      <c r="N56" s="28">
        <f>57489-27607</f>
        <v>29882</v>
      </c>
      <c r="O56" s="28">
        <f t="shared" si="0"/>
        <v>37263</v>
      </c>
      <c r="P56" s="27"/>
      <c r="Q56" s="28">
        <f>14693-7312</f>
        <v>7381</v>
      </c>
      <c r="R56" s="28">
        <f>57489-27607</f>
        <v>29882</v>
      </c>
      <c r="S56" s="28">
        <f t="shared" si="1"/>
        <v>37263</v>
      </c>
      <c r="T56" s="27"/>
      <c r="U56" s="24">
        <f t="shared" si="2"/>
        <v>14762</v>
      </c>
      <c r="V56" s="24">
        <f t="shared" si="3"/>
        <v>59764</v>
      </c>
      <c r="W56" s="28">
        <f t="shared" si="4"/>
        <v>74526</v>
      </c>
    </row>
    <row r="57" spans="1:23" s="19" customFormat="1" ht="29.25">
      <c r="A57" s="261" t="s">
        <v>7</v>
      </c>
      <c r="B57" s="25" t="s">
        <v>157</v>
      </c>
      <c r="C57" s="25" t="s">
        <v>158</v>
      </c>
      <c r="D57" s="25" t="s">
        <v>196</v>
      </c>
      <c r="E57" s="25">
        <v>85</v>
      </c>
      <c r="F57" s="25" t="s">
        <v>159</v>
      </c>
      <c r="G57" s="25" t="s">
        <v>158</v>
      </c>
      <c r="H57" s="538" t="s">
        <v>197</v>
      </c>
      <c r="I57" s="25">
        <v>96009287</v>
      </c>
      <c r="J57" s="226" t="s">
        <v>12</v>
      </c>
      <c r="K57" s="26">
        <v>6.6</v>
      </c>
      <c r="L57" s="27"/>
      <c r="M57" s="28">
        <f>4088-221</f>
        <v>3867</v>
      </c>
      <c r="N57" s="28">
        <f>17781-1377</f>
        <v>16404</v>
      </c>
      <c r="O57" s="28">
        <f t="shared" si="0"/>
        <v>20271</v>
      </c>
      <c r="P57" s="27"/>
      <c r="Q57" s="28">
        <f>4088-221</f>
        <v>3867</v>
      </c>
      <c r="R57" s="28">
        <f>17781-1377</f>
        <v>16404</v>
      </c>
      <c r="S57" s="28">
        <f t="shared" si="1"/>
        <v>20271</v>
      </c>
      <c r="T57" s="27"/>
      <c r="U57" s="24">
        <f t="shared" si="2"/>
        <v>7734</v>
      </c>
      <c r="V57" s="24">
        <f t="shared" si="3"/>
        <v>32808</v>
      </c>
      <c r="W57" s="28">
        <f t="shared" si="4"/>
        <v>40542</v>
      </c>
    </row>
    <row r="58" spans="1:23" s="19" customFormat="1" ht="29.25">
      <c r="A58" s="261" t="s">
        <v>7</v>
      </c>
      <c r="B58" s="25" t="s">
        <v>157</v>
      </c>
      <c r="C58" s="25" t="s">
        <v>158</v>
      </c>
      <c r="D58" s="25" t="s">
        <v>188</v>
      </c>
      <c r="E58" s="25">
        <v>9</v>
      </c>
      <c r="F58" s="25" t="s">
        <v>159</v>
      </c>
      <c r="G58" s="25" t="s">
        <v>158</v>
      </c>
      <c r="H58" s="538" t="s">
        <v>189</v>
      </c>
      <c r="I58" s="25">
        <v>91470248</v>
      </c>
      <c r="J58" s="226" t="s">
        <v>12</v>
      </c>
      <c r="K58" s="26">
        <v>12.5</v>
      </c>
      <c r="L58" s="27"/>
      <c r="M58" s="28">
        <f>31270-21600</f>
        <v>9670</v>
      </c>
      <c r="N58" s="28">
        <f>128892-88324</f>
        <v>40568</v>
      </c>
      <c r="O58" s="28">
        <f t="shared" si="0"/>
        <v>50238</v>
      </c>
      <c r="P58" s="27"/>
      <c r="Q58" s="28">
        <f>31270-21600</f>
        <v>9670</v>
      </c>
      <c r="R58" s="28">
        <f>128892-88324</f>
        <v>40568</v>
      </c>
      <c r="S58" s="28">
        <f t="shared" si="1"/>
        <v>50238</v>
      </c>
      <c r="T58" s="27"/>
      <c r="U58" s="24">
        <f t="shared" si="2"/>
        <v>19340</v>
      </c>
      <c r="V58" s="24">
        <f t="shared" si="3"/>
        <v>81136</v>
      </c>
      <c r="W58" s="28">
        <f t="shared" si="4"/>
        <v>100476</v>
      </c>
    </row>
    <row r="59" spans="1:23" s="19" customFormat="1" ht="29.25">
      <c r="A59" s="261" t="s">
        <v>7</v>
      </c>
      <c r="B59" s="25" t="s">
        <v>157</v>
      </c>
      <c r="C59" s="25" t="s">
        <v>158</v>
      </c>
      <c r="D59" s="25" t="s">
        <v>1420</v>
      </c>
      <c r="E59" s="25"/>
      <c r="F59" s="25" t="s">
        <v>159</v>
      </c>
      <c r="G59" s="25" t="s">
        <v>158</v>
      </c>
      <c r="H59" s="538" t="s">
        <v>163</v>
      </c>
      <c r="I59" s="25">
        <v>90998805</v>
      </c>
      <c r="J59" s="226" t="s">
        <v>12</v>
      </c>
      <c r="K59" s="26">
        <v>6.6</v>
      </c>
      <c r="L59" s="27"/>
      <c r="M59" s="28">
        <f>14231-7238</f>
        <v>6993</v>
      </c>
      <c r="N59" s="28">
        <f>54433-27092</f>
        <v>27341</v>
      </c>
      <c r="O59" s="28">
        <f t="shared" si="0"/>
        <v>34334</v>
      </c>
      <c r="P59" s="27"/>
      <c r="Q59" s="28">
        <f>14231-7238</f>
        <v>6993</v>
      </c>
      <c r="R59" s="28">
        <f>54433-27092</f>
        <v>27341</v>
      </c>
      <c r="S59" s="28">
        <f t="shared" si="1"/>
        <v>34334</v>
      </c>
      <c r="T59" s="27"/>
      <c r="U59" s="24">
        <f t="shared" si="2"/>
        <v>13986</v>
      </c>
      <c r="V59" s="24">
        <f t="shared" si="3"/>
        <v>54682</v>
      </c>
      <c r="W59" s="28">
        <f t="shared" si="4"/>
        <v>68668</v>
      </c>
    </row>
    <row r="60" spans="1:23" s="19" customFormat="1" ht="29.25">
      <c r="A60" s="261" t="s">
        <v>7</v>
      </c>
      <c r="B60" s="25" t="s">
        <v>157</v>
      </c>
      <c r="C60" s="25" t="s">
        <v>158</v>
      </c>
      <c r="D60" s="25" t="s">
        <v>82</v>
      </c>
      <c r="E60" s="25">
        <v>5</v>
      </c>
      <c r="F60" s="25" t="s">
        <v>159</v>
      </c>
      <c r="G60" s="25" t="s">
        <v>158</v>
      </c>
      <c r="H60" s="538" t="s">
        <v>170</v>
      </c>
      <c r="I60" s="25">
        <v>90267033</v>
      </c>
      <c r="J60" s="226" t="s">
        <v>12</v>
      </c>
      <c r="K60" s="26">
        <v>5.5</v>
      </c>
      <c r="L60" s="27"/>
      <c r="M60" s="28">
        <f>9827-6811</f>
        <v>3016</v>
      </c>
      <c r="N60" s="28">
        <f>23445-11606</f>
        <v>11839</v>
      </c>
      <c r="O60" s="28">
        <f t="shared" si="0"/>
        <v>14855</v>
      </c>
      <c r="P60" s="27"/>
      <c r="Q60" s="28">
        <f>9827-6811</f>
        <v>3016</v>
      </c>
      <c r="R60" s="28">
        <f>23445-11606</f>
        <v>11839</v>
      </c>
      <c r="S60" s="28">
        <f t="shared" si="1"/>
        <v>14855</v>
      </c>
      <c r="T60" s="27"/>
      <c r="U60" s="24">
        <f t="shared" si="2"/>
        <v>6032</v>
      </c>
      <c r="V60" s="24">
        <f t="shared" si="3"/>
        <v>23678</v>
      </c>
      <c r="W60" s="28">
        <f t="shared" si="4"/>
        <v>29710</v>
      </c>
    </row>
    <row r="61" spans="1:23" s="19" customFormat="1" ht="29.25">
      <c r="A61" s="261" t="s">
        <v>7</v>
      </c>
      <c r="B61" s="25" t="s">
        <v>157</v>
      </c>
      <c r="C61" s="25" t="s">
        <v>158</v>
      </c>
      <c r="D61" s="25" t="s">
        <v>206</v>
      </c>
      <c r="E61" s="25"/>
      <c r="F61" s="25" t="s">
        <v>159</v>
      </c>
      <c r="G61" s="25" t="s">
        <v>158</v>
      </c>
      <c r="H61" s="538" t="s">
        <v>207</v>
      </c>
      <c r="I61" s="25">
        <v>94977137</v>
      </c>
      <c r="J61" s="226" t="s">
        <v>12</v>
      </c>
      <c r="K61" s="26">
        <v>8.5</v>
      </c>
      <c r="L61" s="27"/>
      <c r="M61" s="28">
        <f>10121-471</f>
        <v>9650</v>
      </c>
      <c r="N61" s="28">
        <f>40528-2427</f>
        <v>38101</v>
      </c>
      <c r="O61" s="28">
        <f t="shared" si="0"/>
        <v>47751</v>
      </c>
      <c r="P61" s="27"/>
      <c r="Q61" s="28">
        <f>10121-471</f>
        <v>9650</v>
      </c>
      <c r="R61" s="28">
        <f>40528-2427</f>
        <v>38101</v>
      </c>
      <c r="S61" s="28">
        <f t="shared" si="1"/>
        <v>47751</v>
      </c>
      <c r="T61" s="27"/>
      <c r="U61" s="24">
        <f t="shared" si="2"/>
        <v>19300</v>
      </c>
      <c r="V61" s="24">
        <f t="shared" si="3"/>
        <v>76202</v>
      </c>
      <c r="W61" s="28">
        <f t="shared" si="4"/>
        <v>95502</v>
      </c>
    </row>
    <row r="62" spans="1:23" s="19" customFormat="1" ht="29.25">
      <c r="A62" s="261" t="s">
        <v>7</v>
      </c>
      <c r="B62" s="25" t="s">
        <v>157</v>
      </c>
      <c r="C62" s="25" t="s">
        <v>158</v>
      </c>
      <c r="D62" s="25" t="s">
        <v>236</v>
      </c>
      <c r="E62" s="25"/>
      <c r="F62" s="25" t="s">
        <v>159</v>
      </c>
      <c r="G62" s="25" t="s">
        <v>158</v>
      </c>
      <c r="H62" s="538" t="s">
        <v>237</v>
      </c>
      <c r="I62" s="25">
        <v>91302692</v>
      </c>
      <c r="J62" s="226" t="s">
        <v>12</v>
      </c>
      <c r="K62" s="26">
        <v>11.5</v>
      </c>
      <c r="L62" s="27"/>
      <c r="M62" s="28">
        <f>13219-6262</f>
        <v>6957</v>
      </c>
      <c r="N62" s="28">
        <f>51594-23815</f>
        <v>27779</v>
      </c>
      <c r="O62" s="28">
        <f t="shared" si="0"/>
        <v>34736</v>
      </c>
      <c r="P62" s="27"/>
      <c r="Q62" s="28">
        <f>13219-6262</f>
        <v>6957</v>
      </c>
      <c r="R62" s="28">
        <f>51594-23815</f>
        <v>27779</v>
      </c>
      <c r="S62" s="28">
        <f t="shared" si="1"/>
        <v>34736</v>
      </c>
      <c r="T62" s="27"/>
      <c r="U62" s="24">
        <f t="shared" si="2"/>
        <v>13914</v>
      </c>
      <c r="V62" s="24">
        <f t="shared" si="3"/>
        <v>55558</v>
      </c>
      <c r="W62" s="28">
        <f t="shared" si="4"/>
        <v>69472</v>
      </c>
    </row>
    <row r="63" spans="1:23" s="19" customFormat="1" ht="29.25">
      <c r="A63" s="261" t="s">
        <v>7</v>
      </c>
      <c r="B63" s="25" t="s">
        <v>157</v>
      </c>
      <c r="C63" s="25" t="s">
        <v>158</v>
      </c>
      <c r="D63" s="25" t="s">
        <v>194</v>
      </c>
      <c r="E63" s="25">
        <v>18</v>
      </c>
      <c r="F63" s="25" t="s">
        <v>159</v>
      </c>
      <c r="G63" s="25" t="s">
        <v>158</v>
      </c>
      <c r="H63" s="538" t="s">
        <v>195</v>
      </c>
      <c r="I63" s="25">
        <v>90114696</v>
      </c>
      <c r="J63" s="226" t="s">
        <v>12</v>
      </c>
      <c r="K63" s="26">
        <v>6.6</v>
      </c>
      <c r="L63" s="27"/>
      <c r="M63" s="28">
        <f>33869-20157</f>
        <v>13712</v>
      </c>
      <c r="N63" s="28">
        <f>121153-67772</f>
        <v>53381</v>
      </c>
      <c r="O63" s="28">
        <f t="shared" si="0"/>
        <v>67093</v>
      </c>
      <c r="P63" s="27"/>
      <c r="Q63" s="28">
        <f>33869-20157</f>
        <v>13712</v>
      </c>
      <c r="R63" s="28">
        <f>121153-67772</f>
        <v>53381</v>
      </c>
      <c r="S63" s="28">
        <f t="shared" si="1"/>
        <v>67093</v>
      </c>
      <c r="T63" s="27"/>
      <c r="U63" s="24">
        <f t="shared" si="2"/>
        <v>27424</v>
      </c>
      <c r="V63" s="24">
        <f t="shared" si="3"/>
        <v>106762</v>
      </c>
      <c r="W63" s="28">
        <f t="shared" si="4"/>
        <v>134186</v>
      </c>
    </row>
    <row r="64" spans="1:23" s="19" customFormat="1" ht="29.25">
      <c r="A64" s="261" t="s">
        <v>7</v>
      </c>
      <c r="B64" s="25" t="s">
        <v>157</v>
      </c>
      <c r="C64" s="25" t="s">
        <v>158</v>
      </c>
      <c r="D64" s="25" t="s">
        <v>173</v>
      </c>
      <c r="E64" s="25">
        <v>24</v>
      </c>
      <c r="F64" s="25" t="s">
        <v>159</v>
      </c>
      <c r="G64" s="25" t="s">
        <v>158</v>
      </c>
      <c r="H64" s="538" t="s">
        <v>174</v>
      </c>
      <c r="I64" s="25">
        <v>96009221</v>
      </c>
      <c r="J64" s="226" t="s">
        <v>12</v>
      </c>
      <c r="K64" s="26">
        <v>15</v>
      </c>
      <c r="L64" s="27"/>
      <c r="M64" s="28">
        <f>9727-252</f>
        <v>9475</v>
      </c>
      <c r="N64" s="28">
        <f>42812-2776</f>
        <v>40036</v>
      </c>
      <c r="O64" s="28">
        <f t="shared" si="0"/>
        <v>49511</v>
      </c>
      <c r="P64" s="27"/>
      <c r="Q64" s="28">
        <f>9727-252</f>
        <v>9475</v>
      </c>
      <c r="R64" s="28">
        <f>42812-2776</f>
        <v>40036</v>
      </c>
      <c r="S64" s="28">
        <f t="shared" si="1"/>
        <v>49511</v>
      </c>
      <c r="T64" s="27"/>
      <c r="U64" s="24">
        <f t="shared" si="2"/>
        <v>18950</v>
      </c>
      <c r="V64" s="24">
        <f t="shared" si="3"/>
        <v>80072</v>
      </c>
      <c r="W64" s="28">
        <f t="shared" si="4"/>
        <v>99022</v>
      </c>
    </row>
    <row r="65" spans="1:23" s="19" customFormat="1" ht="29.25">
      <c r="A65" s="261" t="s">
        <v>7</v>
      </c>
      <c r="B65" s="25" t="s">
        <v>157</v>
      </c>
      <c r="C65" s="25" t="s">
        <v>158</v>
      </c>
      <c r="D65" s="25" t="s">
        <v>212</v>
      </c>
      <c r="E65" s="25">
        <v>23</v>
      </c>
      <c r="F65" s="25" t="s">
        <v>159</v>
      </c>
      <c r="G65" s="25" t="s">
        <v>158</v>
      </c>
      <c r="H65" s="538" t="s">
        <v>213</v>
      </c>
      <c r="I65" s="25">
        <v>91473219</v>
      </c>
      <c r="J65" s="226" t="s">
        <v>12</v>
      </c>
      <c r="K65" s="26">
        <v>6.6</v>
      </c>
      <c r="L65" s="27"/>
      <c r="M65" s="28">
        <f>15153-10420</f>
        <v>4733</v>
      </c>
      <c r="N65" s="28">
        <f>63392-42793</f>
        <v>20599</v>
      </c>
      <c r="O65" s="28">
        <f t="shared" si="0"/>
        <v>25332</v>
      </c>
      <c r="P65" s="27"/>
      <c r="Q65" s="28">
        <f>15153-10420</f>
        <v>4733</v>
      </c>
      <c r="R65" s="28">
        <f>63392-42793</f>
        <v>20599</v>
      </c>
      <c r="S65" s="28">
        <f t="shared" si="1"/>
        <v>25332</v>
      </c>
      <c r="T65" s="27"/>
      <c r="U65" s="24">
        <f t="shared" si="2"/>
        <v>9466</v>
      </c>
      <c r="V65" s="24">
        <f t="shared" si="3"/>
        <v>41198</v>
      </c>
      <c r="W65" s="28">
        <f t="shared" si="4"/>
        <v>50664</v>
      </c>
    </row>
    <row r="66" spans="1:23" s="19" customFormat="1" ht="29.25">
      <c r="A66" s="261" t="s">
        <v>7</v>
      </c>
      <c r="B66" s="25" t="s">
        <v>157</v>
      </c>
      <c r="C66" s="25" t="s">
        <v>158</v>
      </c>
      <c r="D66" s="25" t="s">
        <v>86</v>
      </c>
      <c r="E66" s="25">
        <v>10</v>
      </c>
      <c r="F66" s="25" t="s">
        <v>159</v>
      </c>
      <c r="G66" s="25" t="s">
        <v>158</v>
      </c>
      <c r="H66" s="538" t="s">
        <v>171</v>
      </c>
      <c r="I66" s="25">
        <v>96009233</v>
      </c>
      <c r="J66" s="226" t="s">
        <v>12</v>
      </c>
      <c r="K66" s="26">
        <v>4.8</v>
      </c>
      <c r="L66" s="27"/>
      <c r="M66" s="28">
        <f>6253-166</f>
        <v>6087</v>
      </c>
      <c r="N66" s="28">
        <f>26076-1391</f>
        <v>24685</v>
      </c>
      <c r="O66" s="28">
        <f t="shared" si="0"/>
        <v>30772</v>
      </c>
      <c r="P66" s="27"/>
      <c r="Q66" s="28">
        <f>6253-166</f>
        <v>6087</v>
      </c>
      <c r="R66" s="28">
        <f>26076-1391</f>
        <v>24685</v>
      </c>
      <c r="S66" s="28">
        <f t="shared" si="1"/>
        <v>30772</v>
      </c>
      <c r="T66" s="27"/>
      <c r="U66" s="24">
        <f t="shared" si="2"/>
        <v>12174</v>
      </c>
      <c r="V66" s="24">
        <f t="shared" si="3"/>
        <v>49370</v>
      </c>
      <c r="W66" s="28">
        <f t="shared" si="4"/>
        <v>61544</v>
      </c>
    </row>
    <row r="67" spans="1:23" s="19" customFormat="1" ht="29.25">
      <c r="A67" s="261" t="s">
        <v>7</v>
      </c>
      <c r="B67" s="25" t="s">
        <v>157</v>
      </c>
      <c r="C67" s="25" t="s">
        <v>158</v>
      </c>
      <c r="D67" s="25" t="s">
        <v>261</v>
      </c>
      <c r="E67" s="25"/>
      <c r="F67" s="25" t="s">
        <v>159</v>
      </c>
      <c r="G67" s="25" t="s">
        <v>158</v>
      </c>
      <c r="H67" s="538" t="s">
        <v>262</v>
      </c>
      <c r="I67" s="25">
        <v>90694189</v>
      </c>
      <c r="J67" s="226" t="s">
        <v>12</v>
      </c>
      <c r="K67" s="26">
        <v>9</v>
      </c>
      <c r="L67" s="27"/>
      <c r="M67" s="28">
        <f>37691-33240</f>
        <v>4451</v>
      </c>
      <c r="N67" s="28">
        <f>166466-145009</f>
        <v>21457</v>
      </c>
      <c r="O67" s="28">
        <f t="shared" si="0"/>
        <v>25908</v>
      </c>
      <c r="P67" s="27"/>
      <c r="Q67" s="28">
        <f>37691-33240</f>
        <v>4451</v>
      </c>
      <c r="R67" s="28">
        <f>166466-145009</f>
        <v>21457</v>
      </c>
      <c r="S67" s="28">
        <f t="shared" si="1"/>
        <v>25908</v>
      </c>
      <c r="T67" s="27"/>
      <c r="U67" s="24">
        <f t="shared" si="2"/>
        <v>8902</v>
      </c>
      <c r="V67" s="24">
        <f t="shared" si="3"/>
        <v>42914</v>
      </c>
      <c r="W67" s="28">
        <f t="shared" si="4"/>
        <v>51816</v>
      </c>
    </row>
    <row r="68" spans="1:23" s="19" customFormat="1" ht="29.25">
      <c r="A68" s="261" t="s">
        <v>7</v>
      </c>
      <c r="B68" s="25" t="s">
        <v>157</v>
      </c>
      <c r="C68" s="25" t="s">
        <v>158</v>
      </c>
      <c r="D68" s="25" t="s">
        <v>1300</v>
      </c>
      <c r="E68" s="25">
        <v>11</v>
      </c>
      <c r="F68" s="25" t="s">
        <v>159</v>
      </c>
      <c r="G68" s="25" t="s">
        <v>158</v>
      </c>
      <c r="H68" s="538" t="s">
        <v>232</v>
      </c>
      <c r="I68" s="25">
        <v>83904461</v>
      </c>
      <c r="J68" s="226" t="s">
        <v>12</v>
      </c>
      <c r="K68" s="26">
        <v>7</v>
      </c>
      <c r="L68" s="27"/>
      <c r="M68" s="28">
        <f>1739-956</f>
        <v>783</v>
      </c>
      <c r="N68" s="28">
        <f>6857-3694</f>
        <v>3163</v>
      </c>
      <c r="O68" s="28">
        <f t="shared" si="0"/>
        <v>3946</v>
      </c>
      <c r="P68" s="27"/>
      <c r="Q68" s="28">
        <f>1739-956</f>
        <v>783</v>
      </c>
      <c r="R68" s="28">
        <f>6857-3694</f>
        <v>3163</v>
      </c>
      <c r="S68" s="28">
        <f t="shared" si="1"/>
        <v>3946</v>
      </c>
      <c r="T68" s="27"/>
      <c r="U68" s="24">
        <f t="shared" si="2"/>
        <v>1566</v>
      </c>
      <c r="V68" s="24">
        <f t="shared" si="3"/>
        <v>6326</v>
      </c>
      <c r="W68" s="28">
        <f t="shared" si="4"/>
        <v>7892</v>
      </c>
    </row>
    <row r="69" spans="1:23" s="19" customFormat="1" ht="29.25">
      <c r="A69" s="261" t="s">
        <v>7</v>
      </c>
      <c r="B69" s="25" t="s">
        <v>157</v>
      </c>
      <c r="C69" s="25" t="s">
        <v>158</v>
      </c>
      <c r="D69" s="25" t="s">
        <v>244</v>
      </c>
      <c r="E69" s="25"/>
      <c r="F69" s="25" t="s">
        <v>159</v>
      </c>
      <c r="G69" s="25" t="s">
        <v>158</v>
      </c>
      <c r="H69" s="538" t="s">
        <v>245</v>
      </c>
      <c r="I69" s="25">
        <v>89082097</v>
      </c>
      <c r="J69" s="226" t="s">
        <v>12</v>
      </c>
      <c r="K69" s="26">
        <v>2</v>
      </c>
      <c r="L69" s="27"/>
      <c r="M69" s="28">
        <f>4020-919</f>
        <v>3101</v>
      </c>
      <c r="N69" s="28">
        <f>16037-2790</f>
        <v>13247</v>
      </c>
      <c r="O69" s="28">
        <f t="shared" si="0"/>
        <v>16348</v>
      </c>
      <c r="P69" s="27"/>
      <c r="Q69" s="28">
        <f>4020-919</f>
        <v>3101</v>
      </c>
      <c r="R69" s="28">
        <f>16037-2790</f>
        <v>13247</v>
      </c>
      <c r="S69" s="28">
        <f t="shared" si="1"/>
        <v>16348</v>
      </c>
      <c r="T69" s="27"/>
      <c r="U69" s="24">
        <f t="shared" si="2"/>
        <v>6202</v>
      </c>
      <c r="V69" s="24">
        <f t="shared" si="3"/>
        <v>26494</v>
      </c>
      <c r="W69" s="28">
        <f t="shared" si="4"/>
        <v>32696</v>
      </c>
    </row>
    <row r="70" spans="1:23" s="19" customFormat="1" ht="29.25">
      <c r="A70" s="261" t="s">
        <v>7</v>
      </c>
      <c r="B70" s="25" t="s">
        <v>157</v>
      </c>
      <c r="C70" s="25" t="s">
        <v>158</v>
      </c>
      <c r="D70" s="25" t="s">
        <v>1300</v>
      </c>
      <c r="E70" s="25">
        <v>24</v>
      </c>
      <c r="F70" s="25" t="s">
        <v>159</v>
      </c>
      <c r="G70" s="25" t="s">
        <v>158</v>
      </c>
      <c r="H70" s="538" t="s">
        <v>246</v>
      </c>
      <c r="I70" s="25">
        <v>94807029</v>
      </c>
      <c r="J70" s="226" t="s">
        <v>12</v>
      </c>
      <c r="K70" s="26">
        <v>10.5</v>
      </c>
      <c r="L70" s="27"/>
      <c r="M70" s="28">
        <f>30137-27326</f>
        <v>2811</v>
      </c>
      <c r="N70" s="28">
        <f>127600-114298</f>
        <v>13302</v>
      </c>
      <c r="O70" s="28">
        <f t="shared" si="0"/>
        <v>16113</v>
      </c>
      <c r="P70" s="27"/>
      <c r="Q70" s="28">
        <f>30137-27326</f>
        <v>2811</v>
      </c>
      <c r="R70" s="28">
        <f>127600-114298</f>
        <v>13302</v>
      </c>
      <c r="S70" s="28">
        <f t="shared" si="1"/>
        <v>16113</v>
      </c>
      <c r="T70" s="27"/>
      <c r="U70" s="24">
        <f t="shared" si="2"/>
        <v>5622</v>
      </c>
      <c r="V70" s="24">
        <f t="shared" si="3"/>
        <v>26604</v>
      </c>
      <c r="W70" s="28">
        <f t="shared" si="4"/>
        <v>32226</v>
      </c>
    </row>
    <row r="71" spans="1:23" s="19" customFormat="1" ht="29.25">
      <c r="A71" s="261" t="s">
        <v>7</v>
      </c>
      <c r="B71" s="25" t="s">
        <v>157</v>
      </c>
      <c r="C71" s="25" t="s">
        <v>158</v>
      </c>
      <c r="D71" s="25" t="s">
        <v>1424</v>
      </c>
      <c r="E71" s="25">
        <v>12</v>
      </c>
      <c r="F71" s="25" t="s">
        <v>159</v>
      </c>
      <c r="G71" s="25" t="s">
        <v>158</v>
      </c>
      <c r="H71" s="538" t="s">
        <v>210</v>
      </c>
      <c r="I71" s="25">
        <v>96009293</v>
      </c>
      <c r="J71" s="226" t="s">
        <v>12</v>
      </c>
      <c r="K71" s="26">
        <v>7</v>
      </c>
      <c r="L71" s="27"/>
      <c r="M71" s="28">
        <f>(34824-31615)+187</f>
        <v>3396</v>
      </c>
      <c r="N71" s="28">
        <f>(162709-146642)+1026</f>
        <v>17093</v>
      </c>
      <c r="O71" s="28">
        <f t="shared" si="0"/>
        <v>20489</v>
      </c>
      <c r="P71" s="27"/>
      <c r="Q71" s="28">
        <f>(34824-31615)+187</f>
        <v>3396</v>
      </c>
      <c r="R71" s="28">
        <f>(162709-146642)+1026</f>
        <v>17093</v>
      </c>
      <c r="S71" s="28">
        <f t="shared" si="1"/>
        <v>20489</v>
      </c>
      <c r="T71" s="27"/>
      <c r="U71" s="24">
        <f t="shared" si="2"/>
        <v>6792</v>
      </c>
      <c r="V71" s="24">
        <f t="shared" si="3"/>
        <v>34186</v>
      </c>
      <c r="W71" s="28">
        <f t="shared" si="4"/>
        <v>40978</v>
      </c>
    </row>
    <row r="72" spans="1:23" s="19" customFormat="1" ht="29.25">
      <c r="A72" s="261" t="s">
        <v>7</v>
      </c>
      <c r="B72" s="25" t="s">
        <v>157</v>
      </c>
      <c r="C72" s="25" t="s">
        <v>158</v>
      </c>
      <c r="D72" s="25" t="s">
        <v>192</v>
      </c>
      <c r="E72" s="25"/>
      <c r="F72" s="25" t="s">
        <v>159</v>
      </c>
      <c r="G72" s="25" t="s">
        <v>158</v>
      </c>
      <c r="H72" s="538" t="s">
        <v>193</v>
      </c>
      <c r="I72" s="25">
        <v>94658788</v>
      </c>
      <c r="J72" s="226" t="s">
        <v>12</v>
      </c>
      <c r="K72" s="26">
        <v>6.6</v>
      </c>
      <c r="L72" s="27"/>
      <c r="M72" s="28">
        <f>27444-23685</f>
        <v>3759</v>
      </c>
      <c r="N72" s="28">
        <f>118219-102120</f>
        <v>16099</v>
      </c>
      <c r="O72" s="28">
        <f t="shared" si="0"/>
        <v>19858</v>
      </c>
      <c r="P72" s="27"/>
      <c r="Q72" s="28">
        <f>27444-23685</f>
        <v>3759</v>
      </c>
      <c r="R72" s="28">
        <f>118219-102120</f>
        <v>16099</v>
      </c>
      <c r="S72" s="28">
        <f t="shared" si="1"/>
        <v>19858</v>
      </c>
      <c r="T72" s="27"/>
      <c r="U72" s="24">
        <f t="shared" si="2"/>
        <v>7518</v>
      </c>
      <c r="V72" s="24">
        <f t="shared" si="3"/>
        <v>32198</v>
      </c>
      <c r="W72" s="28">
        <f t="shared" si="4"/>
        <v>39716</v>
      </c>
    </row>
    <row r="73" spans="1:23" s="19" customFormat="1" ht="29.25">
      <c r="A73" s="261" t="s">
        <v>7</v>
      </c>
      <c r="B73" s="25" t="s">
        <v>157</v>
      </c>
      <c r="C73" s="25" t="s">
        <v>158</v>
      </c>
      <c r="D73" s="25" t="s">
        <v>1430</v>
      </c>
      <c r="E73" s="25">
        <v>12</v>
      </c>
      <c r="F73" s="25" t="s">
        <v>159</v>
      </c>
      <c r="G73" s="25" t="s">
        <v>158</v>
      </c>
      <c r="H73" s="538" t="s">
        <v>247</v>
      </c>
      <c r="I73" s="25">
        <v>94807042</v>
      </c>
      <c r="J73" s="226" t="s">
        <v>12</v>
      </c>
      <c r="K73" s="26">
        <v>9.3</v>
      </c>
      <c r="L73" s="27"/>
      <c r="M73" s="28">
        <f>11022-294</f>
        <v>10728</v>
      </c>
      <c r="N73" s="28">
        <f>44886-2459</f>
        <v>42427</v>
      </c>
      <c r="O73" s="28">
        <f t="shared" si="0"/>
        <v>53155</v>
      </c>
      <c r="P73" s="27"/>
      <c r="Q73" s="28">
        <f>11022-294</f>
        <v>10728</v>
      </c>
      <c r="R73" s="28">
        <f>44886-2459</f>
        <v>42427</v>
      </c>
      <c r="S73" s="28">
        <f t="shared" si="1"/>
        <v>53155</v>
      </c>
      <c r="T73" s="27"/>
      <c r="U73" s="24">
        <f t="shared" si="2"/>
        <v>21456</v>
      </c>
      <c r="V73" s="24">
        <f t="shared" si="3"/>
        <v>84854</v>
      </c>
      <c r="W73" s="28">
        <f t="shared" si="4"/>
        <v>106310</v>
      </c>
    </row>
    <row r="74" spans="1:23" s="19" customFormat="1" ht="29.25">
      <c r="A74" s="261" t="s">
        <v>7</v>
      </c>
      <c r="B74" s="25" t="s">
        <v>157</v>
      </c>
      <c r="C74" s="25" t="s">
        <v>158</v>
      </c>
      <c r="D74" s="25" t="s">
        <v>1422</v>
      </c>
      <c r="E74" s="25"/>
      <c r="F74" s="25" t="s">
        <v>159</v>
      </c>
      <c r="G74" s="25" t="s">
        <v>158</v>
      </c>
      <c r="H74" s="538" t="s">
        <v>178</v>
      </c>
      <c r="I74" s="25">
        <v>96009238</v>
      </c>
      <c r="J74" s="226" t="s">
        <v>12</v>
      </c>
      <c r="K74" s="26">
        <v>6.6</v>
      </c>
      <c r="L74" s="27"/>
      <c r="M74" s="28">
        <f>942-26</f>
        <v>916</v>
      </c>
      <c r="N74" s="28">
        <f>4058-199</f>
        <v>3859</v>
      </c>
      <c r="O74" s="28">
        <f t="shared" si="0"/>
        <v>4775</v>
      </c>
      <c r="P74" s="27"/>
      <c r="Q74" s="28">
        <f>942-26</f>
        <v>916</v>
      </c>
      <c r="R74" s="28">
        <f>4058-199</f>
        <v>3859</v>
      </c>
      <c r="S74" s="28">
        <f t="shared" si="1"/>
        <v>4775</v>
      </c>
      <c r="T74" s="27"/>
      <c r="U74" s="24">
        <f t="shared" si="2"/>
        <v>1832</v>
      </c>
      <c r="V74" s="24">
        <f t="shared" si="3"/>
        <v>7718</v>
      </c>
      <c r="W74" s="28">
        <f t="shared" si="4"/>
        <v>9550</v>
      </c>
    </row>
    <row r="75" spans="1:23" s="19" customFormat="1" ht="29.25">
      <c r="A75" s="261" t="s">
        <v>7</v>
      </c>
      <c r="B75" s="25" t="s">
        <v>157</v>
      </c>
      <c r="C75" s="25" t="s">
        <v>158</v>
      </c>
      <c r="D75" s="25" t="s">
        <v>254</v>
      </c>
      <c r="E75" s="25">
        <v>10</v>
      </c>
      <c r="F75" s="25" t="s">
        <v>159</v>
      </c>
      <c r="G75" s="25" t="s">
        <v>158</v>
      </c>
      <c r="H75" s="538" t="s">
        <v>255</v>
      </c>
      <c r="I75" s="25">
        <v>94763377</v>
      </c>
      <c r="J75" s="226" t="s">
        <v>12</v>
      </c>
      <c r="K75" s="26">
        <v>6.6</v>
      </c>
      <c r="L75" s="27"/>
      <c r="M75" s="28">
        <f>5246-1498</f>
        <v>3748</v>
      </c>
      <c r="N75" s="28">
        <f>19696-4393</f>
        <v>15303</v>
      </c>
      <c r="O75" s="28">
        <f t="shared" si="0"/>
        <v>19051</v>
      </c>
      <c r="P75" s="27"/>
      <c r="Q75" s="28">
        <f>5246-1498</f>
        <v>3748</v>
      </c>
      <c r="R75" s="28">
        <f>19696-4393</f>
        <v>15303</v>
      </c>
      <c r="S75" s="28">
        <f t="shared" si="1"/>
        <v>19051</v>
      </c>
      <c r="T75" s="27"/>
      <c r="U75" s="24">
        <f t="shared" si="2"/>
        <v>7496</v>
      </c>
      <c r="V75" s="24">
        <f t="shared" si="3"/>
        <v>30606</v>
      </c>
      <c r="W75" s="28">
        <f t="shared" si="4"/>
        <v>38102</v>
      </c>
    </row>
    <row r="76" spans="1:23" s="19" customFormat="1" ht="29.25">
      <c r="A76" s="261" t="s">
        <v>7</v>
      </c>
      <c r="B76" s="25" t="s">
        <v>157</v>
      </c>
      <c r="C76" s="25" t="s">
        <v>158</v>
      </c>
      <c r="D76" s="25" t="s">
        <v>198</v>
      </c>
      <c r="E76" s="25">
        <v>11</v>
      </c>
      <c r="F76" s="25" t="s">
        <v>159</v>
      </c>
      <c r="G76" s="25" t="s">
        <v>158</v>
      </c>
      <c r="H76" s="538" t="s">
        <v>199</v>
      </c>
      <c r="I76" s="25">
        <v>96009236</v>
      </c>
      <c r="J76" s="226" t="s">
        <v>12</v>
      </c>
      <c r="K76" s="26">
        <v>10.5</v>
      </c>
      <c r="L76" s="27"/>
      <c r="M76" s="28">
        <f>(77465-71834)</f>
        <v>5631</v>
      </c>
      <c r="N76" s="28">
        <f>342174-318864</f>
        <v>23310</v>
      </c>
      <c r="O76" s="28">
        <f t="shared" si="0"/>
        <v>28941</v>
      </c>
      <c r="P76" s="27"/>
      <c r="Q76" s="28">
        <f>(77465-71834)</f>
        <v>5631</v>
      </c>
      <c r="R76" s="28">
        <f>342174-318864</f>
        <v>23310</v>
      </c>
      <c r="S76" s="28">
        <f t="shared" si="1"/>
        <v>28941</v>
      </c>
      <c r="T76" s="27"/>
      <c r="U76" s="24">
        <f t="shared" si="2"/>
        <v>11262</v>
      </c>
      <c r="V76" s="24">
        <f t="shared" si="3"/>
        <v>46620</v>
      </c>
      <c r="W76" s="28">
        <f t="shared" si="4"/>
        <v>57882</v>
      </c>
    </row>
    <row r="77" spans="1:23" s="19" customFormat="1" ht="29.25">
      <c r="A77" s="261" t="s">
        <v>7</v>
      </c>
      <c r="B77" s="25" t="s">
        <v>157</v>
      </c>
      <c r="C77" s="25" t="s">
        <v>158</v>
      </c>
      <c r="D77" s="25" t="s">
        <v>228</v>
      </c>
      <c r="E77" s="25">
        <v>27</v>
      </c>
      <c r="F77" s="25" t="s">
        <v>159</v>
      </c>
      <c r="G77" s="25" t="s">
        <v>158</v>
      </c>
      <c r="H77" s="538" t="s">
        <v>229</v>
      </c>
      <c r="I77" s="25">
        <v>91302427</v>
      </c>
      <c r="J77" s="226" t="s">
        <v>12</v>
      </c>
      <c r="K77" s="26">
        <v>14</v>
      </c>
      <c r="L77" s="27"/>
      <c r="M77" s="28">
        <f>41950-29904</f>
        <v>12046</v>
      </c>
      <c r="N77" s="28">
        <f>162976-115751</f>
        <v>47225</v>
      </c>
      <c r="O77" s="28">
        <f t="shared" si="0"/>
        <v>59271</v>
      </c>
      <c r="P77" s="27"/>
      <c r="Q77" s="28">
        <f>41950-29904</f>
        <v>12046</v>
      </c>
      <c r="R77" s="28">
        <f>162976-115751</f>
        <v>47225</v>
      </c>
      <c r="S77" s="28">
        <f t="shared" si="1"/>
        <v>59271</v>
      </c>
      <c r="T77" s="27"/>
      <c r="U77" s="24">
        <f t="shared" si="2"/>
        <v>24092</v>
      </c>
      <c r="V77" s="24">
        <f t="shared" si="3"/>
        <v>94450</v>
      </c>
      <c r="W77" s="28">
        <f t="shared" si="4"/>
        <v>118542</v>
      </c>
    </row>
    <row r="78" spans="1:23" s="19" customFormat="1" ht="29.25">
      <c r="A78" s="261" t="s">
        <v>7</v>
      </c>
      <c r="B78" s="25" t="s">
        <v>157</v>
      </c>
      <c r="C78" s="25" t="s">
        <v>158</v>
      </c>
      <c r="D78" s="25" t="s">
        <v>204</v>
      </c>
      <c r="E78" s="25" t="s">
        <v>238</v>
      </c>
      <c r="F78" s="25" t="s">
        <v>159</v>
      </c>
      <c r="G78" s="25" t="s">
        <v>158</v>
      </c>
      <c r="H78" s="538" t="s">
        <v>239</v>
      </c>
      <c r="I78" s="25">
        <v>91467575</v>
      </c>
      <c r="J78" s="226" t="s">
        <v>12</v>
      </c>
      <c r="K78" s="26">
        <v>18</v>
      </c>
      <c r="L78" s="27"/>
      <c r="M78" s="28">
        <f>31061-16068</f>
        <v>14993</v>
      </c>
      <c r="N78" s="28">
        <f>120131-60076</f>
        <v>60055</v>
      </c>
      <c r="O78" s="28">
        <f t="shared" si="0"/>
        <v>75048</v>
      </c>
      <c r="P78" s="27"/>
      <c r="Q78" s="28">
        <f>31061-16068</f>
        <v>14993</v>
      </c>
      <c r="R78" s="28">
        <f>120131-60076</f>
        <v>60055</v>
      </c>
      <c r="S78" s="28">
        <f t="shared" si="1"/>
        <v>75048</v>
      </c>
      <c r="T78" s="27"/>
      <c r="U78" s="24">
        <f t="shared" si="2"/>
        <v>29986</v>
      </c>
      <c r="V78" s="24">
        <f t="shared" si="3"/>
        <v>120110</v>
      </c>
      <c r="W78" s="28">
        <f t="shared" si="4"/>
        <v>150096</v>
      </c>
    </row>
    <row r="79" spans="1:23" s="19" customFormat="1" ht="29.25">
      <c r="A79" s="261" t="s">
        <v>7</v>
      </c>
      <c r="B79" s="25" t="s">
        <v>157</v>
      </c>
      <c r="C79" s="25" t="s">
        <v>158</v>
      </c>
      <c r="D79" s="25" t="s">
        <v>176</v>
      </c>
      <c r="E79" s="25">
        <v>21</v>
      </c>
      <c r="F79" s="25" t="s">
        <v>159</v>
      </c>
      <c r="G79" s="25" t="s">
        <v>158</v>
      </c>
      <c r="H79" s="538" t="s">
        <v>177</v>
      </c>
      <c r="I79" s="25">
        <v>94977136</v>
      </c>
      <c r="J79" s="226" t="s">
        <v>12</v>
      </c>
      <c r="K79" s="26">
        <v>10.5</v>
      </c>
      <c r="L79" s="27"/>
      <c r="M79" s="28">
        <f>6991-318</f>
        <v>6673</v>
      </c>
      <c r="N79" s="28">
        <f>30749-2123</f>
        <v>28626</v>
      </c>
      <c r="O79" s="28">
        <f t="shared" si="0"/>
        <v>35299</v>
      </c>
      <c r="P79" s="27"/>
      <c r="Q79" s="28">
        <f>6991-318</f>
        <v>6673</v>
      </c>
      <c r="R79" s="28">
        <f>30749-2123</f>
        <v>28626</v>
      </c>
      <c r="S79" s="28">
        <f t="shared" si="1"/>
        <v>35299</v>
      </c>
      <c r="T79" s="27"/>
      <c r="U79" s="24">
        <f t="shared" si="2"/>
        <v>13346</v>
      </c>
      <c r="V79" s="24">
        <f t="shared" si="3"/>
        <v>57252</v>
      </c>
      <c r="W79" s="28">
        <f t="shared" si="4"/>
        <v>70598</v>
      </c>
    </row>
    <row r="80" spans="1:23" s="19" customFormat="1" ht="29.25">
      <c r="A80" s="261" t="s">
        <v>7</v>
      </c>
      <c r="B80" s="25" t="s">
        <v>157</v>
      </c>
      <c r="C80" s="25" t="s">
        <v>158</v>
      </c>
      <c r="D80" s="25" t="s">
        <v>39</v>
      </c>
      <c r="E80" s="25">
        <v>4</v>
      </c>
      <c r="F80" s="25" t="s">
        <v>159</v>
      </c>
      <c r="G80" s="25" t="s">
        <v>158</v>
      </c>
      <c r="H80" s="538" t="s">
        <v>235</v>
      </c>
      <c r="I80" s="25">
        <v>94806997</v>
      </c>
      <c r="J80" s="226" t="s">
        <v>12</v>
      </c>
      <c r="K80" s="26">
        <v>6.6</v>
      </c>
      <c r="L80" s="27"/>
      <c r="M80" s="28">
        <f>17879-16117</f>
        <v>1762</v>
      </c>
      <c r="N80" s="28">
        <f>71607-63528</f>
        <v>8079</v>
      </c>
      <c r="O80" s="28">
        <f t="shared" si="0"/>
        <v>9841</v>
      </c>
      <c r="P80" s="27"/>
      <c r="Q80" s="28">
        <f>17879-16117</f>
        <v>1762</v>
      </c>
      <c r="R80" s="28">
        <f>71607-63528</f>
        <v>8079</v>
      </c>
      <c r="S80" s="28">
        <f t="shared" si="1"/>
        <v>9841</v>
      </c>
      <c r="T80" s="27"/>
      <c r="U80" s="24">
        <f t="shared" si="2"/>
        <v>3524</v>
      </c>
      <c r="V80" s="24">
        <f t="shared" si="3"/>
        <v>16158</v>
      </c>
      <c r="W80" s="28">
        <f t="shared" si="4"/>
        <v>19682</v>
      </c>
    </row>
    <row r="81" spans="1:23" s="19" customFormat="1" ht="29.25">
      <c r="A81" s="261" t="s">
        <v>7</v>
      </c>
      <c r="B81" s="25" t="s">
        <v>157</v>
      </c>
      <c r="C81" s="25" t="s">
        <v>158</v>
      </c>
      <c r="D81" s="25" t="s">
        <v>214</v>
      </c>
      <c r="E81" s="25">
        <v>22</v>
      </c>
      <c r="F81" s="25" t="s">
        <v>159</v>
      </c>
      <c r="G81" s="25" t="s">
        <v>158</v>
      </c>
      <c r="H81" s="538" t="s">
        <v>215</v>
      </c>
      <c r="I81" s="25">
        <v>96009283</v>
      </c>
      <c r="J81" s="226" t="s">
        <v>12</v>
      </c>
      <c r="K81" s="26">
        <v>6.6</v>
      </c>
      <c r="L81" s="27"/>
      <c r="M81" s="28">
        <f>5367-228</f>
        <v>5139</v>
      </c>
      <c r="N81" s="28">
        <f>22591-1349</f>
        <v>21242</v>
      </c>
      <c r="O81" s="28">
        <f t="shared" si="0"/>
        <v>26381</v>
      </c>
      <c r="P81" s="27"/>
      <c r="Q81" s="28">
        <f>5367-228</f>
        <v>5139</v>
      </c>
      <c r="R81" s="28">
        <f>22591-1349</f>
        <v>21242</v>
      </c>
      <c r="S81" s="28">
        <f t="shared" si="1"/>
        <v>26381</v>
      </c>
      <c r="T81" s="27"/>
      <c r="U81" s="24">
        <f t="shared" si="2"/>
        <v>10278</v>
      </c>
      <c r="V81" s="24">
        <f t="shared" si="3"/>
        <v>42484</v>
      </c>
      <c r="W81" s="28">
        <f t="shared" si="4"/>
        <v>52762</v>
      </c>
    </row>
    <row r="82" spans="1:23" s="19" customFormat="1" ht="29.25">
      <c r="A82" s="261" t="s">
        <v>7</v>
      </c>
      <c r="B82" s="25" t="s">
        <v>157</v>
      </c>
      <c r="C82" s="25" t="s">
        <v>158</v>
      </c>
      <c r="D82" s="25" t="s">
        <v>216</v>
      </c>
      <c r="E82" s="25">
        <v>8</v>
      </c>
      <c r="F82" s="25" t="s">
        <v>159</v>
      </c>
      <c r="G82" s="25" t="s">
        <v>158</v>
      </c>
      <c r="H82" s="538" t="s">
        <v>217</v>
      </c>
      <c r="I82" s="25">
        <v>94807273</v>
      </c>
      <c r="J82" s="226" t="s">
        <v>12</v>
      </c>
      <c r="K82" s="26">
        <v>9</v>
      </c>
      <c r="L82" s="27"/>
      <c r="M82" s="28">
        <f>8617-2479</f>
        <v>6138</v>
      </c>
      <c r="N82" s="28">
        <f>33438-7601</f>
        <v>25837</v>
      </c>
      <c r="O82" s="28">
        <f t="shared" si="0"/>
        <v>31975</v>
      </c>
      <c r="P82" s="27"/>
      <c r="Q82" s="28">
        <f>8617-2479</f>
        <v>6138</v>
      </c>
      <c r="R82" s="28">
        <f>33438-7601</f>
        <v>25837</v>
      </c>
      <c r="S82" s="28">
        <f t="shared" si="1"/>
        <v>31975</v>
      </c>
      <c r="T82" s="27"/>
      <c r="U82" s="24">
        <f t="shared" si="2"/>
        <v>12276</v>
      </c>
      <c r="V82" s="24">
        <f t="shared" si="3"/>
        <v>51674</v>
      </c>
      <c r="W82" s="28">
        <f t="shared" si="4"/>
        <v>63950</v>
      </c>
    </row>
    <row r="83" spans="1:23" s="19" customFormat="1" ht="29.25">
      <c r="A83" s="261" t="s">
        <v>7</v>
      </c>
      <c r="B83" s="25" t="s">
        <v>157</v>
      </c>
      <c r="C83" s="25" t="s">
        <v>158</v>
      </c>
      <c r="D83" s="25" t="s">
        <v>184</v>
      </c>
      <c r="E83" s="25">
        <v>21</v>
      </c>
      <c r="F83" s="25" t="s">
        <v>159</v>
      </c>
      <c r="G83" s="25" t="s">
        <v>158</v>
      </c>
      <c r="H83" s="538" t="s">
        <v>185</v>
      </c>
      <c r="I83" s="25">
        <v>96009289</v>
      </c>
      <c r="J83" s="226" t="s">
        <v>12</v>
      </c>
      <c r="K83" s="26">
        <v>7</v>
      </c>
      <c r="L83" s="27"/>
      <c r="M83" s="28">
        <f>5504-112</f>
        <v>5392</v>
      </c>
      <c r="N83" s="28">
        <f>23808-969</f>
        <v>22839</v>
      </c>
      <c r="O83" s="28">
        <f aca="true" t="shared" si="5" ref="O83:O90">M83+N83</f>
        <v>28231</v>
      </c>
      <c r="P83" s="27"/>
      <c r="Q83" s="28">
        <f>5504-112</f>
        <v>5392</v>
      </c>
      <c r="R83" s="28">
        <f>23808-969</f>
        <v>22839</v>
      </c>
      <c r="S83" s="28">
        <f aca="true" t="shared" si="6" ref="S83:S90">Q83+R83</f>
        <v>28231</v>
      </c>
      <c r="T83" s="27"/>
      <c r="U83" s="24">
        <f aca="true" t="shared" si="7" ref="U83:U90">M83+Q83</f>
        <v>10784</v>
      </c>
      <c r="V83" s="24">
        <f aca="true" t="shared" si="8" ref="V83:V90">N83+R83</f>
        <v>45678</v>
      </c>
      <c r="W83" s="28">
        <f aca="true" t="shared" si="9" ref="W83:W90">U83+V83</f>
        <v>56462</v>
      </c>
    </row>
    <row r="84" spans="1:23" s="19" customFormat="1" ht="29.25">
      <c r="A84" s="261" t="s">
        <v>7</v>
      </c>
      <c r="B84" s="25" t="s">
        <v>157</v>
      </c>
      <c r="C84" s="25" t="s">
        <v>158</v>
      </c>
      <c r="D84" s="25" t="s">
        <v>252</v>
      </c>
      <c r="E84" s="25">
        <v>17</v>
      </c>
      <c r="F84" s="25" t="s">
        <v>159</v>
      </c>
      <c r="G84" s="25" t="s">
        <v>158</v>
      </c>
      <c r="H84" s="538" t="s">
        <v>253</v>
      </c>
      <c r="I84" s="25">
        <v>96009288</v>
      </c>
      <c r="J84" s="226" t="s">
        <v>12</v>
      </c>
      <c r="K84" s="26">
        <v>6.6</v>
      </c>
      <c r="L84" s="27"/>
      <c r="M84" s="28">
        <f>4051-180</f>
        <v>3871</v>
      </c>
      <c r="N84" s="28">
        <f>17690-1033</f>
        <v>16657</v>
      </c>
      <c r="O84" s="28">
        <f t="shared" si="5"/>
        <v>20528</v>
      </c>
      <c r="P84" s="27"/>
      <c r="Q84" s="28">
        <f>4051-180</f>
        <v>3871</v>
      </c>
      <c r="R84" s="28">
        <f>17690-1033</f>
        <v>16657</v>
      </c>
      <c r="S84" s="28">
        <f t="shared" si="6"/>
        <v>20528</v>
      </c>
      <c r="T84" s="27"/>
      <c r="U84" s="24">
        <f t="shared" si="7"/>
        <v>7742</v>
      </c>
      <c r="V84" s="24">
        <f t="shared" si="8"/>
        <v>33314</v>
      </c>
      <c r="W84" s="28">
        <f t="shared" si="9"/>
        <v>41056</v>
      </c>
    </row>
    <row r="85" spans="1:23" s="19" customFormat="1" ht="29.25">
      <c r="A85" s="261" t="s">
        <v>7</v>
      </c>
      <c r="B85" s="25" t="s">
        <v>157</v>
      </c>
      <c r="C85" s="25" t="s">
        <v>158</v>
      </c>
      <c r="D85" s="25" t="s">
        <v>1429</v>
      </c>
      <c r="E85" s="25"/>
      <c r="F85" s="25" t="s">
        <v>159</v>
      </c>
      <c r="G85" s="25" t="s">
        <v>158</v>
      </c>
      <c r="H85" s="538" t="s">
        <v>243</v>
      </c>
      <c r="I85" s="25">
        <v>90267102</v>
      </c>
      <c r="J85" s="226" t="s">
        <v>12</v>
      </c>
      <c r="K85" s="26">
        <v>7</v>
      </c>
      <c r="L85" s="27"/>
      <c r="M85" s="28">
        <f>16012-7919</f>
        <v>8093</v>
      </c>
      <c r="N85" s="28">
        <f>63262-31110</f>
        <v>32152</v>
      </c>
      <c r="O85" s="28">
        <f t="shared" si="5"/>
        <v>40245</v>
      </c>
      <c r="P85" s="27"/>
      <c r="Q85" s="28">
        <f>16012-7919</f>
        <v>8093</v>
      </c>
      <c r="R85" s="28">
        <f>63262-31110</f>
        <v>32152</v>
      </c>
      <c r="S85" s="28">
        <f t="shared" si="6"/>
        <v>40245</v>
      </c>
      <c r="T85" s="27"/>
      <c r="U85" s="24">
        <f t="shared" si="7"/>
        <v>16186</v>
      </c>
      <c r="V85" s="24">
        <f t="shared" si="8"/>
        <v>64304</v>
      </c>
      <c r="W85" s="28">
        <f t="shared" si="9"/>
        <v>80490</v>
      </c>
    </row>
    <row r="86" spans="1:23" s="19" customFormat="1" ht="29.25">
      <c r="A86" s="261" t="s">
        <v>7</v>
      </c>
      <c r="B86" s="25" t="s">
        <v>157</v>
      </c>
      <c r="C86" s="25" t="s">
        <v>158</v>
      </c>
      <c r="D86" s="25" t="s">
        <v>181</v>
      </c>
      <c r="E86" s="25"/>
      <c r="F86" s="25" t="s">
        <v>159</v>
      </c>
      <c r="G86" s="25" t="s">
        <v>158</v>
      </c>
      <c r="H86" s="538" t="s">
        <v>182</v>
      </c>
      <c r="I86" s="25">
        <v>91297164</v>
      </c>
      <c r="J86" s="226" t="s">
        <v>12</v>
      </c>
      <c r="K86" s="26">
        <v>6.6</v>
      </c>
      <c r="L86" s="27"/>
      <c r="M86" s="28">
        <f>12388-9020</f>
        <v>3368</v>
      </c>
      <c r="N86" s="28">
        <f>47957-34113</f>
        <v>13844</v>
      </c>
      <c r="O86" s="28">
        <f t="shared" si="5"/>
        <v>17212</v>
      </c>
      <c r="P86" s="27"/>
      <c r="Q86" s="28">
        <f>12388-9020</f>
        <v>3368</v>
      </c>
      <c r="R86" s="28">
        <f>47957-34113</f>
        <v>13844</v>
      </c>
      <c r="S86" s="28">
        <f t="shared" si="6"/>
        <v>17212</v>
      </c>
      <c r="T86" s="27"/>
      <c r="U86" s="24">
        <f t="shared" si="7"/>
        <v>6736</v>
      </c>
      <c r="V86" s="24">
        <f t="shared" si="8"/>
        <v>27688</v>
      </c>
      <c r="W86" s="28">
        <f t="shared" si="9"/>
        <v>34424</v>
      </c>
    </row>
    <row r="87" spans="1:23" s="19" customFormat="1" ht="29.25">
      <c r="A87" s="261" t="s">
        <v>7</v>
      </c>
      <c r="B87" s="25" t="s">
        <v>157</v>
      </c>
      <c r="C87" s="25" t="s">
        <v>158</v>
      </c>
      <c r="D87" s="25" t="s">
        <v>259</v>
      </c>
      <c r="E87" s="25">
        <v>85</v>
      </c>
      <c r="F87" s="25" t="s">
        <v>159</v>
      </c>
      <c r="G87" s="25" t="s">
        <v>158</v>
      </c>
      <c r="H87" s="538" t="s">
        <v>260</v>
      </c>
      <c r="I87" s="25">
        <v>94977115</v>
      </c>
      <c r="J87" s="226" t="s">
        <v>12</v>
      </c>
      <c r="K87" s="26">
        <v>1.5</v>
      </c>
      <c r="L87" s="27"/>
      <c r="M87" s="28">
        <f>1820-100</f>
        <v>1720</v>
      </c>
      <c r="N87" s="28">
        <f>8024-520</f>
        <v>7504</v>
      </c>
      <c r="O87" s="28">
        <f t="shared" si="5"/>
        <v>9224</v>
      </c>
      <c r="P87" s="27"/>
      <c r="Q87" s="28">
        <f>1820-100</f>
        <v>1720</v>
      </c>
      <c r="R87" s="28">
        <f>8024-520</f>
        <v>7504</v>
      </c>
      <c r="S87" s="28">
        <f t="shared" si="6"/>
        <v>9224</v>
      </c>
      <c r="T87" s="27"/>
      <c r="U87" s="24">
        <f t="shared" si="7"/>
        <v>3440</v>
      </c>
      <c r="V87" s="24">
        <f t="shared" si="8"/>
        <v>15008</v>
      </c>
      <c r="W87" s="28">
        <f t="shared" si="9"/>
        <v>18448</v>
      </c>
    </row>
    <row r="88" spans="1:23" s="19" customFormat="1" ht="29.25">
      <c r="A88" s="261" t="s">
        <v>7</v>
      </c>
      <c r="B88" s="25" t="s">
        <v>157</v>
      </c>
      <c r="C88" s="25" t="s">
        <v>158</v>
      </c>
      <c r="D88" s="25" t="s">
        <v>1432</v>
      </c>
      <c r="E88" s="25">
        <v>1</v>
      </c>
      <c r="F88" s="25" t="s">
        <v>159</v>
      </c>
      <c r="G88" s="25" t="s">
        <v>158</v>
      </c>
      <c r="H88" s="538" t="s">
        <v>257</v>
      </c>
      <c r="I88" s="25">
        <v>94763379</v>
      </c>
      <c r="J88" s="226" t="s">
        <v>12</v>
      </c>
      <c r="K88" s="26">
        <v>6.6</v>
      </c>
      <c r="L88" s="27"/>
      <c r="M88" s="28">
        <f>4583-1341</f>
        <v>3242</v>
      </c>
      <c r="N88" s="28">
        <f>18170-4034</f>
        <v>14136</v>
      </c>
      <c r="O88" s="28">
        <f t="shared" si="5"/>
        <v>17378</v>
      </c>
      <c r="P88" s="27"/>
      <c r="Q88" s="28">
        <f>4583-1341</f>
        <v>3242</v>
      </c>
      <c r="R88" s="28">
        <f>18170-4034</f>
        <v>14136</v>
      </c>
      <c r="S88" s="28">
        <f t="shared" si="6"/>
        <v>17378</v>
      </c>
      <c r="T88" s="27"/>
      <c r="U88" s="24">
        <f t="shared" si="7"/>
        <v>6484</v>
      </c>
      <c r="V88" s="24">
        <f t="shared" si="8"/>
        <v>28272</v>
      </c>
      <c r="W88" s="28">
        <f t="shared" si="9"/>
        <v>34756</v>
      </c>
    </row>
    <row r="89" spans="1:23" s="19" customFormat="1" ht="29.25">
      <c r="A89" s="261" t="s">
        <v>7</v>
      </c>
      <c r="B89" s="30" t="s">
        <v>157</v>
      </c>
      <c r="C89" s="30" t="s">
        <v>158</v>
      </c>
      <c r="D89" s="30" t="s">
        <v>2094</v>
      </c>
      <c r="E89" s="25"/>
      <c r="F89" s="25" t="s">
        <v>159</v>
      </c>
      <c r="G89" s="25" t="s">
        <v>158</v>
      </c>
      <c r="H89" s="538" t="s">
        <v>227</v>
      </c>
      <c r="I89" s="25">
        <v>94658801</v>
      </c>
      <c r="J89" s="226" t="s">
        <v>12</v>
      </c>
      <c r="K89" s="26">
        <v>6.6</v>
      </c>
      <c r="L89" s="27"/>
      <c r="M89" s="28">
        <f>30448-24571</f>
        <v>5877</v>
      </c>
      <c r="N89" s="28">
        <f>127844-103361</f>
        <v>24483</v>
      </c>
      <c r="O89" s="28">
        <f t="shared" si="5"/>
        <v>30360</v>
      </c>
      <c r="P89" s="27"/>
      <c r="Q89" s="28">
        <f>30448-24571</f>
        <v>5877</v>
      </c>
      <c r="R89" s="28">
        <f>127844-103361</f>
        <v>24483</v>
      </c>
      <c r="S89" s="28">
        <f t="shared" si="6"/>
        <v>30360</v>
      </c>
      <c r="T89" s="27"/>
      <c r="U89" s="24">
        <f t="shared" si="7"/>
        <v>11754</v>
      </c>
      <c r="V89" s="24">
        <f t="shared" si="8"/>
        <v>48966</v>
      </c>
      <c r="W89" s="28">
        <f t="shared" si="9"/>
        <v>60720</v>
      </c>
    </row>
    <row r="90" spans="1:23" s="19" customFormat="1" ht="29.25">
      <c r="A90" s="234" t="s">
        <v>7</v>
      </c>
      <c r="B90" s="158" t="s">
        <v>1282</v>
      </c>
      <c r="C90" s="172" t="s">
        <v>158</v>
      </c>
      <c r="D90" s="57" t="s">
        <v>1638</v>
      </c>
      <c r="E90" s="48" t="s">
        <v>1639</v>
      </c>
      <c r="F90" s="40" t="s">
        <v>159</v>
      </c>
      <c r="G90" s="21" t="s">
        <v>158</v>
      </c>
      <c r="H90" s="313" t="s">
        <v>1692</v>
      </c>
      <c r="I90" s="48">
        <v>239739</v>
      </c>
      <c r="J90" s="230" t="s">
        <v>12</v>
      </c>
      <c r="K90" s="227">
        <v>11</v>
      </c>
      <c r="L90" s="50"/>
      <c r="M90" s="28">
        <f>33897-29079</f>
        <v>4818</v>
      </c>
      <c r="N90" s="28">
        <f>131915-112919</f>
        <v>18996</v>
      </c>
      <c r="O90" s="28">
        <f t="shared" si="5"/>
        <v>23814</v>
      </c>
      <c r="P90" s="50"/>
      <c r="Q90" s="28">
        <f>33897-29079</f>
        <v>4818</v>
      </c>
      <c r="R90" s="28">
        <f>131915-112919</f>
        <v>18996</v>
      </c>
      <c r="S90" s="28">
        <f t="shared" si="6"/>
        <v>23814</v>
      </c>
      <c r="T90" s="50"/>
      <c r="U90" s="24">
        <f t="shared" si="7"/>
        <v>9636</v>
      </c>
      <c r="V90" s="24">
        <f t="shared" si="8"/>
        <v>37992</v>
      </c>
      <c r="W90" s="28">
        <f t="shared" si="9"/>
        <v>47628</v>
      </c>
    </row>
    <row r="91" spans="1:23" s="19" customFormat="1" ht="29.25">
      <c r="A91" s="261" t="s">
        <v>7</v>
      </c>
      <c r="B91" s="25" t="s">
        <v>157</v>
      </c>
      <c r="C91" s="25" t="s">
        <v>158</v>
      </c>
      <c r="D91" s="25" t="s">
        <v>1436</v>
      </c>
      <c r="E91" s="42"/>
      <c r="F91" s="42" t="s">
        <v>159</v>
      </c>
      <c r="G91" s="25" t="s">
        <v>158</v>
      </c>
      <c r="H91" s="538" t="s">
        <v>278</v>
      </c>
      <c r="I91" s="42">
        <v>96009267</v>
      </c>
      <c r="J91" s="43" t="s">
        <v>149</v>
      </c>
      <c r="K91" s="44">
        <v>5.3</v>
      </c>
      <c r="L91" s="28">
        <f>26989-1308</f>
        <v>25681</v>
      </c>
      <c r="M91" s="41"/>
      <c r="N91" s="41"/>
      <c r="O91" s="28">
        <f>L91</f>
        <v>25681</v>
      </c>
      <c r="P91" s="28">
        <f>26989-1308</f>
        <v>25681</v>
      </c>
      <c r="Q91" s="41"/>
      <c r="R91" s="41"/>
      <c r="S91" s="28">
        <f>P91</f>
        <v>25681</v>
      </c>
      <c r="T91" s="28">
        <f>O91+S91</f>
        <v>51362</v>
      </c>
      <c r="U91" s="41"/>
      <c r="V91" s="41"/>
      <c r="W91" s="28">
        <f>T91</f>
        <v>51362</v>
      </c>
    </row>
    <row r="92" spans="1:23" s="19" customFormat="1" ht="29.25">
      <c r="A92" s="261" t="s">
        <v>7</v>
      </c>
      <c r="B92" s="25" t="s">
        <v>157</v>
      </c>
      <c r="C92" s="25" t="s">
        <v>158</v>
      </c>
      <c r="D92" s="25" t="s">
        <v>283</v>
      </c>
      <c r="E92" s="42"/>
      <c r="F92" s="42" t="s">
        <v>159</v>
      </c>
      <c r="G92" s="25" t="s">
        <v>158</v>
      </c>
      <c r="H92" s="538" t="s">
        <v>2090</v>
      </c>
      <c r="I92" s="42">
        <v>96009265</v>
      </c>
      <c r="J92" s="43" t="s">
        <v>149</v>
      </c>
      <c r="K92" s="44">
        <v>10</v>
      </c>
      <c r="L92" s="28">
        <f>106361-7004</f>
        <v>99357</v>
      </c>
      <c r="M92" s="41"/>
      <c r="N92" s="41"/>
      <c r="O92" s="28">
        <f aca="true" t="shared" si="10" ref="O92:O98">L92</f>
        <v>99357</v>
      </c>
      <c r="P92" s="28">
        <f>106361-7004</f>
        <v>99357</v>
      </c>
      <c r="Q92" s="41"/>
      <c r="R92" s="41"/>
      <c r="S92" s="28">
        <f aca="true" t="shared" si="11" ref="S92:S98">P92</f>
        <v>99357</v>
      </c>
      <c r="T92" s="28">
        <f aca="true" t="shared" si="12" ref="T92:T108">O92+S92</f>
        <v>198714</v>
      </c>
      <c r="U92" s="41"/>
      <c r="V92" s="41"/>
      <c r="W92" s="28">
        <f aca="true" t="shared" si="13" ref="W92:W108">T92</f>
        <v>198714</v>
      </c>
    </row>
    <row r="93" spans="1:23" s="19" customFormat="1" ht="29.25">
      <c r="A93" s="261" t="s">
        <v>7</v>
      </c>
      <c r="B93" s="25" t="s">
        <v>157</v>
      </c>
      <c r="C93" s="25" t="s">
        <v>158</v>
      </c>
      <c r="D93" s="25" t="s">
        <v>1434</v>
      </c>
      <c r="E93" s="42"/>
      <c r="F93" s="42" t="s">
        <v>159</v>
      </c>
      <c r="G93" s="25" t="s">
        <v>158</v>
      </c>
      <c r="H93" s="538" t="s">
        <v>276</v>
      </c>
      <c r="I93" s="42">
        <v>96009264</v>
      </c>
      <c r="J93" s="43" t="s">
        <v>149</v>
      </c>
      <c r="K93" s="44">
        <v>4.7</v>
      </c>
      <c r="L93" s="28">
        <f>27170-1354</f>
        <v>25816</v>
      </c>
      <c r="M93" s="41"/>
      <c r="N93" s="41"/>
      <c r="O93" s="28">
        <f t="shared" si="10"/>
        <v>25816</v>
      </c>
      <c r="P93" s="28">
        <f>27170-1354</f>
        <v>25816</v>
      </c>
      <c r="Q93" s="41"/>
      <c r="R93" s="41"/>
      <c r="S93" s="28">
        <f t="shared" si="11"/>
        <v>25816</v>
      </c>
      <c r="T93" s="28">
        <f t="shared" si="12"/>
        <v>51632</v>
      </c>
      <c r="U93" s="41"/>
      <c r="V93" s="41"/>
      <c r="W93" s="28">
        <f t="shared" si="13"/>
        <v>51632</v>
      </c>
    </row>
    <row r="94" spans="1:23" s="19" customFormat="1" ht="29.25">
      <c r="A94" s="261" t="s">
        <v>7</v>
      </c>
      <c r="B94" s="25" t="s">
        <v>157</v>
      </c>
      <c r="C94" s="25" t="s">
        <v>158</v>
      </c>
      <c r="D94" s="25" t="s">
        <v>280</v>
      </c>
      <c r="E94" s="42"/>
      <c r="F94" s="42" t="s">
        <v>159</v>
      </c>
      <c r="G94" s="25" t="s">
        <v>158</v>
      </c>
      <c r="H94" s="538" t="s">
        <v>281</v>
      </c>
      <c r="I94" s="42">
        <v>96009269</v>
      </c>
      <c r="J94" s="43" t="s">
        <v>149</v>
      </c>
      <c r="K94" s="44">
        <v>4</v>
      </c>
      <c r="L94" s="28">
        <f>12913-671</f>
        <v>12242</v>
      </c>
      <c r="M94" s="41"/>
      <c r="N94" s="41"/>
      <c r="O94" s="28">
        <f t="shared" si="10"/>
        <v>12242</v>
      </c>
      <c r="P94" s="28">
        <f>12913-671</f>
        <v>12242</v>
      </c>
      <c r="Q94" s="41"/>
      <c r="R94" s="41"/>
      <c r="S94" s="28">
        <f t="shared" si="11"/>
        <v>12242</v>
      </c>
      <c r="T94" s="28">
        <f t="shared" si="12"/>
        <v>24484</v>
      </c>
      <c r="U94" s="41"/>
      <c r="V94" s="41"/>
      <c r="W94" s="28">
        <f t="shared" si="13"/>
        <v>24484</v>
      </c>
    </row>
    <row r="95" spans="1:23" s="19" customFormat="1" ht="29.25">
      <c r="A95" s="261" t="s">
        <v>7</v>
      </c>
      <c r="B95" s="25" t="s">
        <v>157</v>
      </c>
      <c r="C95" s="25" t="s">
        <v>158</v>
      </c>
      <c r="D95" s="25" t="s">
        <v>284</v>
      </c>
      <c r="E95" s="42"/>
      <c r="F95" s="42" t="s">
        <v>159</v>
      </c>
      <c r="G95" s="25" t="s">
        <v>158</v>
      </c>
      <c r="H95" s="538" t="s">
        <v>285</v>
      </c>
      <c r="I95" s="42">
        <v>23902835</v>
      </c>
      <c r="J95" s="43" t="s">
        <v>149</v>
      </c>
      <c r="K95" s="44">
        <v>3.3</v>
      </c>
      <c r="L95" s="28">
        <f>17048-15713</f>
        <v>1335</v>
      </c>
      <c r="M95" s="41"/>
      <c r="N95" s="41"/>
      <c r="O95" s="28">
        <f t="shared" si="10"/>
        <v>1335</v>
      </c>
      <c r="P95" s="28">
        <f>17048-15713</f>
        <v>1335</v>
      </c>
      <c r="Q95" s="41"/>
      <c r="R95" s="41"/>
      <c r="S95" s="28">
        <f t="shared" si="11"/>
        <v>1335</v>
      </c>
      <c r="T95" s="28">
        <f t="shared" si="12"/>
        <v>2670</v>
      </c>
      <c r="U95" s="41"/>
      <c r="V95" s="41"/>
      <c r="W95" s="28">
        <f t="shared" si="13"/>
        <v>2670</v>
      </c>
    </row>
    <row r="96" spans="1:23" s="19" customFormat="1" ht="29.25">
      <c r="A96" s="261" t="s">
        <v>7</v>
      </c>
      <c r="B96" s="25" t="s">
        <v>157</v>
      </c>
      <c r="C96" s="25" t="s">
        <v>158</v>
      </c>
      <c r="D96" s="25" t="s">
        <v>1435</v>
      </c>
      <c r="E96" s="42"/>
      <c r="F96" s="42" t="s">
        <v>159</v>
      </c>
      <c r="G96" s="25" t="s">
        <v>158</v>
      </c>
      <c r="H96" s="538" t="s">
        <v>277</v>
      </c>
      <c r="I96" s="42">
        <v>94964734</v>
      </c>
      <c r="J96" s="43" t="s">
        <v>149</v>
      </c>
      <c r="K96" s="44">
        <v>2.3</v>
      </c>
      <c r="L96" s="28">
        <f>12176-409</f>
        <v>11767</v>
      </c>
      <c r="M96" s="41"/>
      <c r="N96" s="41"/>
      <c r="O96" s="28">
        <f t="shared" si="10"/>
        <v>11767</v>
      </c>
      <c r="P96" s="28">
        <f>12176-409</f>
        <v>11767</v>
      </c>
      <c r="Q96" s="41"/>
      <c r="R96" s="41"/>
      <c r="S96" s="28">
        <f t="shared" si="11"/>
        <v>11767</v>
      </c>
      <c r="T96" s="28">
        <f t="shared" si="12"/>
        <v>23534</v>
      </c>
      <c r="U96" s="41"/>
      <c r="V96" s="41"/>
      <c r="W96" s="28">
        <f t="shared" si="13"/>
        <v>23534</v>
      </c>
    </row>
    <row r="97" spans="1:23" s="19" customFormat="1" ht="29.25">
      <c r="A97" s="261" t="s">
        <v>7</v>
      </c>
      <c r="B97" s="30" t="s">
        <v>157</v>
      </c>
      <c r="C97" s="30" t="s">
        <v>158</v>
      </c>
      <c r="D97" s="30" t="s">
        <v>263</v>
      </c>
      <c r="E97" s="42"/>
      <c r="F97" s="42" t="s">
        <v>159</v>
      </c>
      <c r="G97" s="25" t="s">
        <v>158</v>
      </c>
      <c r="H97" s="538" t="s">
        <v>282</v>
      </c>
      <c r="I97" s="42">
        <v>94964731</v>
      </c>
      <c r="J97" s="43" t="s">
        <v>149</v>
      </c>
      <c r="K97" s="44">
        <v>3</v>
      </c>
      <c r="L97" s="28">
        <f>154568-134944</f>
        <v>19624</v>
      </c>
      <c r="M97" s="41"/>
      <c r="N97" s="41"/>
      <c r="O97" s="28">
        <f t="shared" si="10"/>
        <v>19624</v>
      </c>
      <c r="P97" s="28">
        <f>154568-134944</f>
        <v>19624</v>
      </c>
      <c r="Q97" s="41"/>
      <c r="R97" s="41"/>
      <c r="S97" s="28">
        <f t="shared" si="11"/>
        <v>19624</v>
      </c>
      <c r="T97" s="28">
        <f t="shared" si="12"/>
        <v>39248</v>
      </c>
      <c r="U97" s="41"/>
      <c r="V97" s="41"/>
      <c r="W97" s="28">
        <f t="shared" si="13"/>
        <v>39248</v>
      </c>
    </row>
    <row r="98" spans="1:23" s="19" customFormat="1" ht="29.25">
      <c r="A98" s="261" t="s">
        <v>7</v>
      </c>
      <c r="B98" s="25" t="s">
        <v>157</v>
      </c>
      <c r="C98" s="25" t="s">
        <v>158</v>
      </c>
      <c r="D98" s="25" t="s">
        <v>1436</v>
      </c>
      <c r="E98" s="40"/>
      <c r="F98" s="40" t="s">
        <v>159</v>
      </c>
      <c r="G98" s="21" t="s">
        <v>158</v>
      </c>
      <c r="H98" s="539" t="s">
        <v>279</v>
      </c>
      <c r="I98" s="40">
        <v>93025364</v>
      </c>
      <c r="J98" s="682" t="s">
        <v>149</v>
      </c>
      <c r="K98" s="638">
        <v>4.7</v>
      </c>
      <c r="L98" s="24">
        <f>32496-8450</f>
        <v>24046</v>
      </c>
      <c r="M98" s="41"/>
      <c r="N98" s="41"/>
      <c r="O98" s="28">
        <f t="shared" si="10"/>
        <v>24046</v>
      </c>
      <c r="P98" s="24">
        <f>32496-8450</f>
        <v>24046</v>
      </c>
      <c r="Q98" s="41"/>
      <c r="R98" s="41"/>
      <c r="S98" s="28">
        <f t="shared" si="11"/>
        <v>24046</v>
      </c>
      <c r="T98" s="28">
        <f t="shared" si="12"/>
        <v>48092</v>
      </c>
      <c r="U98" s="41"/>
      <c r="V98" s="41"/>
      <c r="W98" s="28">
        <f t="shared" si="13"/>
        <v>48092</v>
      </c>
    </row>
    <row r="99" spans="1:23" s="19" customFormat="1" ht="29.25">
      <c r="A99" s="261" t="s">
        <v>7</v>
      </c>
      <c r="B99" s="25" t="s">
        <v>157</v>
      </c>
      <c r="C99" s="25" t="s">
        <v>158</v>
      </c>
      <c r="D99" s="42" t="s">
        <v>291</v>
      </c>
      <c r="E99" s="42"/>
      <c r="F99" s="42" t="s">
        <v>159</v>
      </c>
      <c r="G99" s="25" t="s">
        <v>158</v>
      </c>
      <c r="H99" s="538" t="s">
        <v>292</v>
      </c>
      <c r="I99" s="42">
        <v>93088422</v>
      </c>
      <c r="J99" s="224" t="s">
        <v>147</v>
      </c>
      <c r="K99" s="44">
        <v>13</v>
      </c>
      <c r="L99" s="24">
        <f>18944-7465</f>
        <v>11479</v>
      </c>
      <c r="M99" s="41"/>
      <c r="N99" s="41"/>
      <c r="O99" s="28">
        <f>L99</f>
        <v>11479</v>
      </c>
      <c r="P99" s="24">
        <f>18944-7465</f>
        <v>11479</v>
      </c>
      <c r="Q99" s="41"/>
      <c r="R99" s="41"/>
      <c r="S99" s="28">
        <f>P99</f>
        <v>11479</v>
      </c>
      <c r="T99" s="28">
        <f t="shared" si="12"/>
        <v>22958</v>
      </c>
      <c r="U99" s="41"/>
      <c r="V99" s="41"/>
      <c r="W99" s="28">
        <f t="shared" si="13"/>
        <v>22958</v>
      </c>
    </row>
    <row r="100" spans="1:23" s="19" customFormat="1" ht="29.25">
      <c r="A100" s="261" t="s">
        <v>7</v>
      </c>
      <c r="B100" s="25" t="s">
        <v>157</v>
      </c>
      <c r="C100" s="25" t="s">
        <v>158</v>
      </c>
      <c r="D100" s="42" t="s">
        <v>287</v>
      </c>
      <c r="E100" s="42"/>
      <c r="F100" s="42" t="s">
        <v>159</v>
      </c>
      <c r="G100" s="25" t="s">
        <v>158</v>
      </c>
      <c r="H100" s="538" t="s">
        <v>288</v>
      </c>
      <c r="I100" s="42">
        <v>22086729</v>
      </c>
      <c r="J100" s="224" t="s">
        <v>147</v>
      </c>
      <c r="K100" s="44">
        <v>1.4</v>
      </c>
      <c r="L100" s="24">
        <f>81579-72598</f>
        <v>8981</v>
      </c>
      <c r="M100" s="41"/>
      <c r="N100" s="41"/>
      <c r="O100" s="28">
        <f aca="true" t="shared" si="14" ref="O100:O108">L100</f>
        <v>8981</v>
      </c>
      <c r="P100" s="24">
        <f>81579-72598</f>
        <v>8981</v>
      </c>
      <c r="Q100" s="41"/>
      <c r="R100" s="41"/>
      <c r="S100" s="28">
        <f aca="true" t="shared" si="15" ref="S100:S108">P100</f>
        <v>8981</v>
      </c>
      <c r="T100" s="28">
        <f t="shared" si="12"/>
        <v>17962</v>
      </c>
      <c r="U100" s="41"/>
      <c r="V100" s="41"/>
      <c r="W100" s="28">
        <f t="shared" si="13"/>
        <v>17962</v>
      </c>
    </row>
    <row r="101" spans="1:23" s="19" customFormat="1" ht="29.25">
      <c r="A101" s="261" t="s">
        <v>7</v>
      </c>
      <c r="B101" s="25" t="s">
        <v>157</v>
      </c>
      <c r="C101" s="25" t="s">
        <v>158</v>
      </c>
      <c r="D101" s="42" t="s">
        <v>289</v>
      </c>
      <c r="E101" s="42"/>
      <c r="F101" s="42" t="s">
        <v>159</v>
      </c>
      <c r="G101" s="25" t="s">
        <v>158</v>
      </c>
      <c r="H101" s="538" t="s">
        <v>290</v>
      </c>
      <c r="I101" s="42">
        <v>1494758</v>
      </c>
      <c r="J101" s="224" t="s">
        <v>147</v>
      </c>
      <c r="K101" s="44">
        <v>3.1</v>
      </c>
      <c r="L101" s="24">
        <f>31607-23683</f>
        <v>7924</v>
      </c>
      <c r="M101" s="41"/>
      <c r="N101" s="41"/>
      <c r="O101" s="28">
        <f t="shared" si="14"/>
        <v>7924</v>
      </c>
      <c r="P101" s="24">
        <f>31607-23683</f>
        <v>7924</v>
      </c>
      <c r="Q101" s="41"/>
      <c r="R101" s="41"/>
      <c r="S101" s="28">
        <f t="shared" si="15"/>
        <v>7924</v>
      </c>
      <c r="T101" s="28">
        <f t="shared" si="12"/>
        <v>15848</v>
      </c>
      <c r="U101" s="41"/>
      <c r="V101" s="41"/>
      <c r="W101" s="28">
        <f t="shared" si="13"/>
        <v>15848</v>
      </c>
    </row>
    <row r="102" spans="1:23" ht="29.25">
      <c r="A102" s="261" t="s">
        <v>7</v>
      </c>
      <c r="B102" s="25" t="s">
        <v>157</v>
      </c>
      <c r="C102" s="25" t="s">
        <v>158</v>
      </c>
      <c r="D102" s="42" t="s">
        <v>1437</v>
      </c>
      <c r="E102" s="42"/>
      <c r="F102" s="40" t="s">
        <v>159</v>
      </c>
      <c r="G102" s="21" t="s">
        <v>158</v>
      </c>
      <c r="H102" s="539" t="s">
        <v>286</v>
      </c>
      <c r="I102" s="40">
        <v>26258901</v>
      </c>
      <c r="J102" s="655" t="s">
        <v>147</v>
      </c>
      <c r="K102" s="638">
        <v>2.3</v>
      </c>
      <c r="L102" s="24">
        <f>103236-92408</f>
        <v>10828</v>
      </c>
      <c r="M102" s="50"/>
      <c r="N102" s="50"/>
      <c r="O102" s="28">
        <f t="shared" si="14"/>
        <v>10828</v>
      </c>
      <c r="P102" s="24">
        <f>103236-92408</f>
        <v>10828</v>
      </c>
      <c r="Q102" s="50"/>
      <c r="R102" s="50"/>
      <c r="S102" s="28">
        <f t="shared" si="15"/>
        <v>10828</v>
      </c>
      <c r="T102" s="28">
        <f t="shared" si="12"/>
        <v>21656</v>
      </c>
      <c r="U102" s="50"/>
      <c r="V102" s="50"/>
      <c r="W102" s="28">
        <f t="shared" si="13"/>
        <v>21656</v>
      </c>
    </row>
    <row r="103" spans="1:23" ht="29.25">
      <c r="A103" s="234" t="s">
        <v>7</v>
      </c>
      <c r="B103" s="158" t="s">
        <v>1282</v>
      </c>
      <c r="C103" s="172" t="s">
        <v>158</v>
      </c>
      <c r="D103" s="57" t="s">
        <v>1294</v>
      </c>
      <c r="E103" s="51">
        <v>50</v>
      </c>
      <c r="F103" s="42" t="s">
        <v>159</v>
      </c>
      <c r="G103" s="25" t="s">
        <v>158</v>
      </c>
      <c r="H103" s="302" t="s">
        <v>1690</v>
      </c>
      <c r="I103" s="51">
        <v>226286</v>
      </c>
      <c r="J103" s="175" t="s">
        <v>147</v>
      </c>
      <c r="K103" s="204">
        <v>4</v>
      </c>
      <c r="L103" s="12">
        <f>30677-26942</f>
        <v>3735</v>
      </c>
      <c r="M103" s="41"/>
      <c r="N103" s="41"/>
      <c r="O103" s="28">
        <f t="shared" si="14"/>
        <v>3735</v>
      </c>
      <c r="P103" s="12">
        <f>30677-26942</f>
        <v>3735</v>
      </c>
      <c r="Q103" s="41"/>
      <c r="R103" s="41"/>
      <c r="S103" s="28">
        <f t="shared" si="15"/>
        <v>3735</v>
      </c>
      <c r="T103" s="28">
        <f t="shared" si="12"/>
        <v>7470</v>
      </c>
      <c r="U103" s="41"/>
      <c r="V103" s="41"/>
      <c r="W103" s="28">
        <f t="shared" si="13"/>
        <v>7470</v>
      </c>
    </row>
    <row r="104" spans="1:23" ht="29.25">
      <c r="A104" s="233" t="s">
        <v>7</v>
      </c>
      <c r="B104" s="158" t="s">
        <v>1282</v>
      </c>
      <c r="C104" s="172" t="s">
        <v>158</v>
      </c>
      <c r="D104" s="57" t="s">
        <v>204</v>
      </c>
      <c r="E104" s="51">
        <v>2</v>
      </c>
      <c r="F104" s="40" t="s">
        <v>159</v>
      </c>
      <c r="G104" s="20" t="s">
        <v>158</v>
      </c>
      <c r="H104" s="303" t="s">
        <v>1691</v>
      </c>
      <c r="I104" s="51">
        <v>908056</v>
      </c>
      <c r="J104" s="175" t="s">
        <v>147</v>
      </c>
      <c r="K104" s="204">
        <v>16</v>
      </c>
      <c r="L104" s="12">
        <f>158859-141112</f>
        <v>17747</v>
      </c>
      <c r="M104" s="41"/>
      <c r="N104" s="41"/>
      <c r="O104" s="28">
        <f t="shared" si="14"/>
        <v>17747</v>
      </c>
      <c r="P104" s="12">
        <f>158859-141112</f>
        <v>17747</v>
      </c>
      <c r="Q104" s="41"/>
      <c r="R104" s="41"/>
      <c r="S104" s="28">
        <f t="shared" si="15"/>
        <v>17747</v>
      </c>
      <c r="T104" s="28">
        <f t="shared" si="12"/>
        <v>35494</v>
      </c>
      <c r="U104" s="41"/>
      <c r="V104" s="41"/>
      <c r="W104" s="28">
        <f t="shared" si="13"/>
        <v>35494</v>
      </c>
    </row>
    <row r="105" spans="1:23" ht="43.5">
      <c r="A105" s="233" t="s">
        <v>7</v>
      </c>
      <c r="B105" s="320" t="s">
        <v>1780</v>
      </c>
      <c r="C105" s="48" t="s">
        <v>158</v>
      </c>
      <c r="D105" s="350" t="s">
        <v>1667</v>
      </c>
      <c r="E105" s="124" t="s">
        <v>1781</v>
      </c>
      <c r="F105" s="48" t="s">
        <v>159</v>
      </c>
      <c r="G105" s="51" t="s">
        <v>158</v>
      </c>
      <c r="H105" s="302" t="s">
        <v>1943</v>
      </c>
      <c r="I105" s="48">
        <v>1391795</v>
      </c>
      <c r="J105" s="176" t="s">
        <v>147</v>
      </c>
      <c r="K105" s="227">
        <v>2</v>
      </c>
      <c r="L105" s="49">
        <f>19898-10787</f>
        <v>9111</v>
      </c>
      <c r="M105" s="50"/>
      <c r="N105" s="50"/>
      <c r="O105" s="28">
        <f t="shared" si="14"/>
        <v>9111</v>
      </c>
      <c r="P105" s="49">
        <f>19898-10787</f>
        <v>9111</v>
      </c>
      <c r="Q105" s="50"/>
      <c r="R105" s="50"/>
      <c r="S105" s="28">
        <f t="shared" si="15"/>
        <v>9111</v>
      </c>
      <c r="T105" s="28">
        <f t="shared" si="12"/>
        <v>18222</v>
      </c>
      <c r="U105" s="50"/>
      <c r="V105" s="50"/>
      <c r="W105" s="28">
        <f t="shared" si="13"/>
        <v>18222</v>
      </c>
    </row>
    <row r="106" spans="1:23" ht="29.25">
      <c r="A106" s="233" t="s">
        <v>7</v>
      </c>
      <c r="B106" s="56" t="s">
        <v>8</v>
      </c>
      <c r="C106" s="56" t="s">
        <v>158</v>
      </c>
      <c r="D106" s="56" t="s">
        <v>2102</v>
      </c>
      <c r="E106" s="56" t="s">
        <v>2103</v>
      </c>
      <c r="F106" s="56" t="s">
        <v>159</v>
      </c>
      <c r="G106" s="56" t="s">
        <v>158</v>
      </c>
      <c r="H106" s="302" t="s">
        <v>2208</v>
      </c>
      <c r="I106" s="56">
        <v>72258566</v>
      </c>
      <c r="J106" s="626" t="s">
        <v>147</v>
      </c>
      <c r="K106" s="565">
        <v>22</v>
      </c>
      <c r="L106" s="566">
        <f>79155-29726</f>
        <v>49429</v>
      </c>
      <c r="M106" s="41"/>
      <c r="N106" s="567"/>
      <c r="O106" s="28">
        <f t="shared" si="14"/>
        <v>49429</v>
      </c>
      <c r="P106" s="566">
        <f>79155-29726</f>
        <v>49429</v>
      </c>
      <c r="Q106" s="41"/>
      <c r="R106" s="567"/>
      <c r="S106" s="28">
        <f t="shared" si="15"/>
        <v>49429</v>
      </c>
      <c r="T106" s="28">
        <f t="shared" si="12"/>
        <v>98858</v>
      </c>
      <c r="U106" s="41"/>
      <c r="V106" s="567"/>
      <c r="W106" s="28">
        <f t="shared" si="13"/>
        <v>98858</v>
      </c>
    </row>
    <row r="107" spans="1:23" ht="29.25">
      <c r="A107" s="233" t="s">
        <v>7</v>
      </c>
      <c r="B107" s="56" t="s">
        <v>8</v>
      </c>
      <c r="C107" s="56" t="s">
        <v>158</v>
      </c>
      <c r="D107" s="56" t="s">
        <v>2104</v>
      </c>
      <c r="E107" s="56" t="s">
        <v>2105</v>
      </c>
      <c r="F107" s="56" t="s">
        <v>159</v>
      </c>
      <c r="G107" s="56" t="s">
        <v>158</v>
      </c>
      <c r="H107" s="302" t="s">
        <v>2209</v>
      </c>
      <c r="I107" s="56">
        <v>89012509</v>
      </c>
      <c r="J107" s="626" t="s">
        <v>147</v>
      </c>
      <c r="K107" s="565">
        <v>1</v>
      </c>
      <c r="L107" s="566">
        <f>2592-600</f>
        <v>1992</v>
      </c>
      <c r="M107" s="41"/>
      <c r="N107" s="567"/>
      <c r="O107" s="28">
        <f t="shared" si="14"/>
        <v>1992</v>
      </c>
      <c r="P107" s="566">
        <f>2592-600</f>
        <v>1992</v>
      </c>
      <c r="Q107" s="41"/>
      <c r="R107" s="567"/>
      <c r="S107" s="28">
        <f t="shared" si="15"/>
        <v>1992</v>
      </c>
      <c r="T107" s="28">
        <f t="shared" si="12"/>
        <v>3984</v>
      </c>
      <c r="U107" s="41"/>
      <c r="V107" s="567"/>
      <c r="W107" s="28">
        <f t="shared" si="13"/>
        <v>3984</v>
      </c>
    </row>
    <row r="108" spans="1:23" ht="30" thickBot="1">
      <c r="A108" s="233" t="s">
        <v>7</v>
      </c>
      <c r="B108" s="60" t="s">
        <v>274</v>
      </c>
      <c r="C108" s="60" t="s">
        <v>158</v>
      </c>
      <c r="D108" s="60" t="s">
        <v>350</v>
      </c>
      <c r="E108" s="56" t="s">
        <v>2106</v>
      </c>
      <c r="F108" s="56" t="s">
        <v>159</v>
      </c>
      <c r="G108" s="60" t="s">
        <v>158</v>
      </c>
      <c r="H108" s="302" t="s">
        <v>2210</v>
      </c>
      <c r="I108" s="56">
        <v>83904506</v>
      </c>
      <c r="J108" s="626" t="s">
        <v>147</v>
      </c>
      <c r="K108" s="565">
        <v>1</v>
      </c>
      <c r="L108" s="566">
        <f>5799-2471</f>
        <v>3328</v>
      </c>
      <c r="M108" s="41"/>
      <c r="N108" s="567"/>
      <c r="O108" s="28">
        <f t="shared" si="14"/>
        <v>3328</v>
      </c>
      <c r="P108" s="566">
        <f>5799-2471</f>
        <v>3328</v>
      </c>
      <c r="Q108" s="41"/>
      <c r="R108" s="567"/>
      <c r="S108" s="28">
        <f t="shared" si="15"/>
        <v>3328</v>
      </c>
      <c r="T108" s="28">
        <f t="shared" si="12"/>
        <v>6656</v>
      </c>
      <c r="U108" s="41"/>
      <c r="V108" s="567"/>
      <c r="W108" s="28">
        <f t="shared" si="13"/>
        <v>6656</v>
      </c>
    </row>
    <row r="109" spans="1:23" ht="43.5" customHeight="1">
      <c r="A109" s="46"/>
      <c r="B109" s="70" t="s">
        <v>150</v>
      </c>
      <c r="C109" s="61" t="s">
        <v>274</v>
      </c>
      <c r="D109" s="32"/>
      <c r="E109" s="46"/>
      <c r="F109" s="46"/>
      <c r="G109" s="521" t="s">
        <v>2030</v>
      </c>
      <c r="H109" s="406" t="s">
        <v>274</v>
      </c>
      <c r="I109" s="46"/>
      <c r="J109" s="46"/>
      <c r="K109" s="46"/>
      <c r="L109" s="46"/>
      <c r="M109" s="29"/>
      <c r="N109" s="42" t="s">
        <v>155</v>
      </c>
      <c r="O109" s="235">
        <f>SUM(O18:O108)</f>
        <v>2442642</v>
      </c>
      <c r="P109" s="46"/>
      <c r="Q109" s="29"/>
      <c r="R109" s="42" t="s">
        <v>155</v>
      </c>
      <c r="S109" s="235">
        <f>SUM(S18:S108)</f>
        <v>2442642</v>
      </c>
      <c r="T109" s="46"/>
      <c r="U109" s="29"/>
      <c r="V109" s="42" t="s">
        <v>155</v>
      </c>
      <c r="W109" s="235">
        <f>SUM(W18:W108)</f>
        <v>4885284</v>
      </c>
    </row>
    <row r="110" spans="2:15" ht="15">
      <c r="B110" s="34"/>
      <c r="C110" s="64" t="s">
        <v>2092</v>
      </c>
      <c r="D110" s="36"/>
      <c r="G110" s="405"/>
      <c r="H110" s="406" t="s">
        <v>2093</v>
      </c>
      <c r="L110" s="2"/>
      <c r="M110" s="33"/>
      <c r="N110" s="33"/>
      <c r="O110" s="19"/>
    </row>
    <row r="111" spans="1:15" ht="15.75" thickBot="1">
      <c r="A111" s="46"/>
      <c r="B111" s="34"/>
      <c r="C111" s="72" t="s">
        <v>275</v>
      </c>
      <c r="D111" s="36"/>
      <c r="E111" s="46"/>
      <c r="F111" s="46"/>
      <c r="G111" s="503"/>
      <c r="H111" s="407" t="s">
        <v>275</v>
      </c>
      <c r="I111" s="46"/>
      <c r="J111" s="46"/>
      <c r="K111" s="46"/>
      <c r="L111" s="46"/>
      <c r="M111" s="29"/>
      <c r="N111" s="29"/>
      <c r="O111" s="29"/>
    </row>
    <row r="112" spans="2:15" ht="15">
      <c r="B112" s="237" t="s">
        <v>1640</v>
      </c>
      <c r="C112" s="72" t="s">
        <v>1779</v>
      </c>
      <c r="D112" s="36"/>
      <c r="G112" s="236"/>
      <c r="H112" s="35"/>
      <c r="M112" s="19"/>
      <c r="N112" s="19"/>
      <c r="O112" s="19"/>
    </row>
    <row r="113" spans="2:15" ht="15.75" thickBot="1">
      <c r="B113" s="200" t="s">
        <v>1644</v>
      </c>
      <c r="C113" s="73" t="s">
        <v>1912</v>
      </c>
      <c r="D113" s="39"/>
      <c r="M113" s="19"/>
      <c r="N113" s="19"/>
      <c r="O113" s="19"/>
    </row>
    <row r="114" spans="2:15" ht="15">
      <c r="B114" s="236"/>
      <c r="C114" s="72"/>
      <c r="D114" s="64"/>
      <c r="M114" s="19"/>
      <c r="N114" s="19"/>
      <c r="O114" s="19"/>
    </row>
    <row r="115" spans="1:15" ht="15">
      <c r="A115" s="355"/>
      <c r="B115" s="236"/>
      <c r="C115" s="72"/>
      <c r="D115" s="64"/>
      <c r="E115" s="46"/>
      <c r="F115" s="46"/>
      <c r="G115" s="236"/>
      <c r="H115" s="568"/>
      <c r="I115" s="46"/>
      <c r="J115" s="46"/>
      <c r="L115" s="2"/>
      <c r="M115" s="2"/>
      <c r="N115" s="135"/>
      <c r="O115" s="135"/>
    </row>
    <row r="116" spans="9:16" s="19" customFormat="1" ht="27.75" customHeight="1">
      <c r="I116" s="29"/>
      <c r="J116" s="29"/>
      <c r="K116" s="146"/>
      <c r="L116"/>
      <c r="M116" s="332" t="s">
        <v>155</v>
      </c>
      <c r="N116" s="33">
        <f>W109</f>
        <v>4885284</v>
      </c>
      <c r="P116"/>
    </row>
    <row r="117" spans="9:15" ht="15" thickBot="1">
      <c r="I117" s="29"/>
      <c r="J117" s="29"/>
      <c r="K117" s="146"/>
      <c r="M117" s="332"/>
      <c r="N117" s="33"/>
      <c r="O117" s="19"/>
    </row>
    <row r="118" spans="9:16" ht="41.25" customHeight="1">
      <c r="I118" s="29"/>
      <c r="J118" s="29"/>
      <c r="K118" s="146"/>
      <c r="L118" s="772" t="s">
        <v>152</v>
      </c>
      <c r="M118" s="774" t="s">
        <v>2257</v>
      </c>
      <c r="N118" s="775"/>
      <c r="O118" s="776"/>
      <c r="P118" s="768" t="s">
        <v>153</v>
      </c>
    </row>
    <row r="119" spans="6:16" ht="15" thickBot="1">
      <c r="F119" s="46"/>
      <c r="I119" s="29"/>
      <c r="J119" s="29"/>
      <c r="K119" s="29"/>
      <c r="L119" s="773"/>
      <c r="M119" s="115" t="s">
        <v>154</v>
      </c>
      <c r="N119" s="115" t="s">
        <v>1017</v>
      </c>
      <c r="O119" s="115" t="s">
        <v>1018</v>
      </c>
      <c r="P119" s="769"/>
    </row>
    <row r="120" spans="6:16" ht="14.25">
      <c r="F120" s="47"/>
      <c r="I120" s="29"/>
      <c r="J120" s="29"/>
      <c r="K120" s="29"/>
      <c r="L120" s="584" t="s">
        <v>147</v>
      </c>
      <c r="M120" s="587">
        <f>SUM(W99:W108)</f>
        <v>249108</v>
      </c>
      <c r="N120" s="50"/>
      <c r="O120" s="50"/>
      <c r="P120" s="588">
        <v>10</v>
      </c>
    </row>
    <row r="121" spans="6:16" ht="14.25">
      <c r="F121" s="46"/>
      <c r="I121" s="29"/>
      <c r="J121" s="29"/>
      <c r="K121" s="128"/>
      <c r="L121" s="585" t="s">
        <v>149</v>
      </c>
      <c r="M121" s="589">
        <f>SUM(W91:W98)</f>
        <v>439736</v>
      </c>
      <c r="N121" s="150"/>
      <c r="O121" s="150"/>
      <c r="P121" s="590">
        <v>8</v>
      </c>
    </row>
    <row r="122" spans="6:16" ht="15" thickBot="1">
      <c r="F122" s="46"/>
      <c r="I122" s="29"/>
      <c r="J122" s="29"/>
      <c r="K122" s="29"/>
      <c r="L122" s="586" t="s">
        <v>12</v>
      </c>
      <c r="M122" s="53"/>
      <c r="N122" s="583">
        <f>SUM(U18:U90)</f>
        <v>824186</v>
      </c>
      <c r="O122" s="583">
        <f>SUM(V18:V90)</f>
        <v>3372254</v>
      </c>
      <c r="P122" s="591">
        <v>73</v>
      </c>
    </row>
    <row r="123" spans="9:16" ht="15" thickBot="1">
      <c r="I123" s="29"/>
      <c r="J123" s="29"/>
      <c r="K123" s="29"/>
      <c r="L123" s="14" t="s">
        <v>155</v>
      </c>
      <c r="M123" s="16">
        <f>SUM(M120:M122)</f>
        <v>688844</v>
      </c>
      <c r="N123" s="16">
        <f>SUM(N120:N122)</f>
        <v>824186</v>
      </c>
      <c r="O123" s="17">
        <f>SUM(O120:O122)</f>
        <v>3372254</v>
      </c>
      <c r="P123" s="544">
        <f>SUM(P120:P122)</f>
        <v>91</v>
      </c>
    </row>
    <row r="124" spans="9:14" ht="18.75" thickBot="1">
      <c r="I124" s="29"/>
      <c r="J124" s="29"/>
      <c r="K124" s="29"/>
      <c r="M124" s="54" t="s">
        <v>156</v>
      </c>
      <c r="N124" s="273">
        <f>SUM(M123:O123)</f>
        <v>4885284</v>
      </c>
    </row>
    <row r="125" spans="12:16" ht="18">
      <c r="L125" s="201"/>
      <c r="M125" s="197"/>
      <c r="N125" s="29"/>
      <c r="O125" s="29"/>
      <c r="P125" s="29"/>
    </row>
    <row r="126" spans="12:16" ht="14.25">
      <c r="L126" s="29"/>
      <c r="M126" s="29"/>
      <c r="N126" s="135"/>
      <c r="O126" s="29"/>
      <c r="P126" s="29"/>
    </row>
    <row r="127" spans="12:16" ht="14.25">
      <c r="L127" s="29"/>
      <c r="M127" s="29"/>
      <c r="N127" s="29"/>
      <c r="O127" s="29"/>
      <c r="P127" s="29"/>
    </row>
    <row r="138" spans="13:15" ht="14.25">
      <c r="M138" s="19"/>
      <c r="N138" s="19"/>
      <c r="O138" s="19"/>
    </row>
    <row r="139" spans="13:15" ht="14.25">
      <c r="M139" s="19"/>
      <c r="N139" s="19"/>
      <c r="O139" s="19"/>
    </row>
    <row r="140" spans="13:15" ht="14.25">
      <c r="M140" s="19"/>
      <c r="N140" s="19"/>
      <c r="O140" s="19"/>
    </row>
    <row r="141" spans="13:15" ht="14.25">
      <c r="M141" s="19"/>
      <c r="N141" s="19"/>
      <c r="O141" s="19"/>
    </row>
    <row r="142" spans="13:15" ht="14.25">
      <c r="M142" s="19"/>
      <c r="N142" s="19"/>
      <c r="O142" s="19"/>
    </row>
    <row r="143" spans="13:15" ht="14.25">
      <c r="M143" s="19"/>
      <c r="N143" s="19"/>
      <c r="O143" s="19"/>
    </row>
    <row r="144" spans="13:15" ht="14.25">
      <c r="M144" s="19"/>
      <c r="N144" s="19"/>
      <c r="O144" s="19"/>
    </row>
    <row r="145" spans="13:15" ht="14.25">
      <c r="M145" s="19"/>
      <c r="N145" s="19"/>
      <c r="O145" s="19"/>
    </row>
    <row r="146" spans="13:15" ht="14.25">
      <c r="M146" s="19"/>
      <c r="N146" s="19"/>
      <c r="O146" s="19"/>
    </row>
    <row r="147" spans="13:15" ht="14.25">
      <c r="M147" s="19"/>
      <c r="N147" s="19"/>
      <c r="O147" s="19"/>
    </row>
    <row r="148" spans="13:15" ht="14.25">
      <c r="M148" s="19"/>
      <c r="N148" s="19"/>
      <c r="O148" s="19"/>
    </row>
    <row r="149" spans="13:15" ht="14.25">
      <c r="M149" s="19"/>
      <c r="N149" s="19"/>
      <c r="O149" s="19"/>
    </row>
    <row r="150" spans="13:15" ht="14.25">
      <c r="M150" s="19"/>
      <c r="N150" s="19"/>
      <c r="O150" s="19"/>
    </row>
    <row r="151" spans="13:15" ht="14.25">
      <c r="M151" s="19"/>
      <c r="N151" s="19"/>
      <c r="O151" s="19"/>
    </row>
    <row r="152" spans="13:15" ht="14.25">
      <c r="M152" s="19"/>
      <c r="N152" s="19"/>
      <c r="O152" s="19"/>
    </row>
    <row r="153" spans="13:15" ht="14.25">
      <c r="M153" s="19"/>
      <c r="N153" s="19"/>
      <c r="O153" s="19"/>
    </row>
    <row r="154" spans="13:15" ht="14.25">
      <c r="M154" s="19"/>
      <c r="N154" s="19"/>
      <c r="O154" s="19"/>
    </row>
    <row r="155" spans="13:15" ht="14.25">
      <c r="M155" s="19"/>
      <c r="N155" s="19"/>
      <c r="O155" s="19"/>
    </row>
    <row r="156" spans="13:15" ht="14.25">
      <c r="M156" s="19"/>
      <c r="N156" s="19"/>
      <c r="O156" s="19"/>
    </row>
    <row r="157" spans="13:15" ht="14.25">
      <c r="M157" s="19"/>
      <c r="N157" s="19"/>
      <c r="O157" s="19"/>
    </row>
    <row r="158" spans="13:15" ht="14.25">
      <c r="M158" s="19"/>
      <c r="N158" s="19"/>
      <c r="O158" s="19"/>
    </row>
    <row r="159" spans="13:15" ht="14.25">
      <c r="M159" s="19"/>
      <c r="N159" s="19"/>
      <c r="O159" s="19"/>
    </row>
    <row r="160" spans="13:15" ht="14.25">
      <c r="M160" s="19"/>
      <c r="N160" s="19"/>
      <c r="O160" s="19"/>
    </row>
    <row r="161" spans="13:15" ht="14.25">
      <c r="M161" s="19"/>
      <c r="N161" s="19"/>
      <c r="O161" s="19"/>
    </row>
    <row r="162" spans="13:15" ht="14.25">
      <c r="M162" s="19"/>
      <c r="N162" s="19"/>
      <c r="O162" s="19"/>
    </row>
    <row r="163" spans="13:15" ht="14.25">
      <c r="M163" s="19"/>
      <c r="N163" s="19"/>
      <c r="O163" s="19"/>
    </row>
    <row r="164" spans="13:15" ht="14.25">
      <c r="M164" s="19"/>
      <c r="N164" s="19"/>
      <c r="O164" s="19"/>
    </row>
    <row r="165" spans="13:15" ht="14.25">
      <c r="M165" s="19"/>
      <c r="N165" s="19"/>
      <c r="O165" s="19"/>
    </row>
    <row r="166" spans="13:15" ht="14.25">
      <c r="M166" s="19"/>
      <c r="N166" s="19"/>
      <c r="O166" s="19"/>
    </row>
    <row r="167" spans="13:15" ht="14.25">
      <c r="M167" s="19"/>
      <c r="N167" s="19"/>
      <c r="O167" s="19"/>
    </row>
    <row r="168" spans="13:15" ht="14.25">
      <c r="M168" s="19"/>
      <c r="N168" s="19"/>
      <c r="O168" s="19"/>
    </row>
  </sheetData>
  <sheetProtection/>
  <mergeCells count="23">
    <mergeCell ref="P15:S15"/>
    <mergeCell ref="T15:W15"/>
    <mergeCell ref="P16:S16"/>
    <mergeCell ref="T16:W16"/>
    <mergeCell ref="L15:O15"/>
    <mergeCell ref="B1:L1"/>
    <mergeCell ref="L118:L119"/>
    <mergeCell ref="M118:O118"/>
    <mergeCell ref="P118:P119"/>
    <mergeCell ref="J15:J17"/>
    <mergeCell ref="B3:I3"/>
    <mergeCell ref="B5:I5"/>
    <mergeCell ref="I15:I17"/>
    <mergeCell ref="L16:O16"/>
    <mergeCell ref="K15:K17"/>
    <mergeCell ref="H15:H17"/>
    <mergeCell ref="A15:A17"/>
    <mergeCell ref="B15:B17"/>
    <mergeCell ref="C15:C17"/>
    <mergeCell ref="D15:D17"/>
    <mergeCell ref="E15:E17"/>
    <mergeCell ref="G15:G17"/>
    <mergeCell ref="F15:F1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4"/>
  <sheetViews>
    <sheetView zoomScale="50" zoomScaleNormal="50" zoomScalePageLayoutView="0" workbookViewId="0" topLeftCell="A157">
      <selection activeCell="P198" sqref="P198"/>
    </sheetView>
  </sheetViews>
  <sheetFormatPr defaultColWidth="8.796875" defaultRowHeight="14.25"/>
  <cols>
    <col min="1" max="1" width="10.8984375" style="0" customWidth="1"/>
    <col min="2" max="2" width="12.5" style="0" customWidth="1"/>
    <col min="3" max="3" width="16.5" style="0" customWidth="1"/>
    <col min="4" max="4" width="11.8984375" style="0" customWidth="1"/>
    <col min="5" max="5" width="14.09765625" style="0" customWidth="1"/>
    <col min="6" max="6" width="12.5" style="0" customWidth="1"/>
    <col min="7" max="7" width="14.09765625" style="0" customWidth="1"/>
    <col min="8" max="8" width="26" style="0" customWidth="1"/>
    <col min="9" max="9" width="21.69921875" style="0" customWidth="1"/>
    <col min="10" max="10" width="12.59765625" style="0" customWidth="1"/>
    <col min="11" max="11" width="12.5" style="1" customWidth="1"/>
    <col min="12" max="12" width="13.09765625" style="2" customWidth="1"/>
    <col min="13" max="13" width="15.5" style="2" customWidth="1"/>
    <col min="14" max="14" width="18.19921875" style="2" customWidth="1"/>
    <col min="15" max="15" width="21.09765625" style="2" customWidth="1"/>
    <col min="16" max="16" width="13.19921875" style="0" customWidth="1"/>
    <col min="17" max="17" width="12.8984375" style="0" customWidth="1"/>
    <col min="18" max="18" width="14.59765625" style="0" customWidth="1"/>
    <col min="19" max="19" width="15.19921875" style="0" customWidth="1"/>
    <col min="20" max="20" width="22.59765625" style="0" customWidth="1"/>
    <col min="21" max="21" width="23" style="0" customWidth="1"/>
    <col min="22" max="22" width="18.5" style="0" customWidth="1"/>
    <col min="23" max="23" width="15.69921875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0" ht="15">
      <c r="B2" s="182"/>
      <c r="C2" s="182"/>
      <c r="D2" s="182"/>
      <c r="E2" s="182"/>
      <c r="F2" s="182"/>
      <c r="G2" s="182"/>
      <c r="H2" s="183"/>
      <c r="I2" s="184"/>
      <c r="J2" s="187"/>
    </row>
    <row r="3" spans="2:10" ht="26.25" customHeight="1">
      <c r="B3" s="785" t="s">
        <v>1033</v>
      </c>
      <c r="C3" s="786"/>
      <c r="D3" s="786"/>
      <c r="E3" s="786"/>
      <c r="F3" s="786"/>
      <c r="G3" s="786"/>
      <c r="H3" s="786"/>
      <c r="I3" s="787"/>
      <c r="J3" s="187"/>
    </row>
    <row r="4" spans="2:10" ht="15">
      <c r="B4" s="183"/>
      <c r="C4" s="183"/>
      <c r="D4" s="183"/>
      <c r="E4" s="183"/>
      <c r="F4" s="183"/>
      <c r="G4" s="183"/>
      <c r="H4" s="183"/>
      <c r="I4" s="184"/>
      <c r="J4" s="187"/>
    </row>
    <row r="5" spans="2:10" ht="15.75" customHeight="1">
      <c r="B5" s="755" t="s">
        <v>1012</v>
      </c>
      <c r="C5" s="755"/>
      <c r="D5" s="755"/>
      <c r="E5" s="755"/>
      <c r="F5" s="755"/>
      <c r="G5" s="755"/>
      <c r="H5" s="755"/>
      <c r="I5" s="755"/>
      <c r="J5" s="187"/>
    </row>
    <row r="6" spans="2:10" ht="17.25" customHeight="1">
      <c r="B6" s="183"/>
      <c r="C6" s="183"/>
      <c r="D6" s="183"/>
      <c r="E6" s="183"/>
      <c r="F6" s="183"/>
      <c r="G6" s="183"/>
      <c r="H6" s="183"/>
      <c r="I6" s="184"/>
      <c r="J6" s="187"/>
    </row>
    <row r="7" spans="2:10" ht="15.75">
      <c r="B7" s="383" t="s">
        <v>950</v>
      </c>
      <c r="C7" s="182"/>
      <c r="D7" s="183"/>
      <c r="E7" s="183"/>
      <c r="F7" s="183"/>
      <c r="G7" s="182"/>
      <c r="H7" s="183"/>
      <c r="I7" s="184"/>
      <c r="J7" s="187"/>
    </row>
    <row r="8" spans="2:10" ht="15.75">
      <c r="B8" s="383" t="s">
        <v>2031</v>
      </c>
      <c r="C8" s="182"/>
      <c r="D8" s="183"/>
      <c r="E8" s="183"/>
      <c r="F8" s="183"/>
      <c r="G8" s="182"/>
      <c r="H8" s="183"/>
      <c r="I8" s="184"/>
      <c r="J8" s="187"/>
    </row>
    <row r="9" spans="2:14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L9"/>
      <c r="M9" s="355"/>
      <c r="N9"/>
    </row>
    <row r="10" spans="2:10" ht="15.75">
      <c r="B10" s="186" t="s">
        <v>1634</v>
      </c>
      <c r="C10" s="182"/>
      <c r="D10" s="187"/>
      <c r="E10" s="183"/>
      <c r="F10" s="183"/>
      <c r="G10" s="182"/>
      <c r="H10" s="183"/>
      <c r="I10" s="184"/>
      <c r="J10" s="187"/>
    </row>
    <row r="11" spans="2:10" ht="15">
      <c r="B11" s="182" t="s">
        <v>1024</v>
      </c>
      <c r="C11" s="182"/>
      <c r="D11" s="182"/>
      <c r="E11" s="182"/>
      <c r="F11" s="182"/>
      <c r="G11" s="182"/>
      <c r="H11" s="183"/>
      <c r="I11" s="184"/>
      <c r="J11" s="187"/>
    </row>
    <row r="12" spans="2:10" ht="15.75">
      <c r="B12" s="188" t="s">
        <v>1013</v>
      </c>
      <c r="C12" s="189" t="s">
        <v>1014</v>
      </c>
      <c r="D12" s="187"/>
      <c r="E12" s="187"/>
      <c r="F12" s="187"/>
      <c r="G12" s="187"/>
      <c r="H12" s="190"/>
      <c r="I12" s="182"/>
      <c r="J12" s="187"/>
    </row>
    <row r="13" spans="2:10" ht="15.75">
      <c r="B13" s="188" t="s">
        <v>1015</v>
      </c>
      <c r="C13" s="185" t="s">
        <v>1016</v>
      </c>
      <c r="D13" s="187"/>
      <c r="E13" s="187"/>
      <c r="F13" s="187"/>
      <c r="G13" s="187"/>
      <c r="H13" s="520"/>
      <c r="I13" s="182"/>
      <c r="J13" s="187"/>
    </row>
    <row r="14" spans="1:10" ht="15" thickBot="1">
      <c r="A14" s="29"/>
      <c r="B14" s="82"/>
      <c r="C14" s="29"/>
      <c r="D14" s="29"/>
      <c r="E14" s="29"/>
      <c r="F14" s="29"/>
      <c r="G14" s="29"/>
      <c r="H14" s="29"/>
      <c r="I14" s="29"/>
      <c r="J14" s="29"/>
    </row>
    <row r="15" spans="1:23" ht="48.7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5" customHeight="1">
      <c r="A16" s="760"/>
      <c r="B16" s="763"/>
      <c r="C16" s="766"/>
      <c r="D16" s="766"/>
      <c r="E16" s="757"/>
      <c r="F16" s="757"/>
      <c r="G16" s="766"/>
      <c r="H16" s="757"/>
      <c r="I16" s="757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54.75" customHeight="1" thickBot="1">
      <c r="A17" s="761"/>
      <c r="B17" s="764"/>
      <c r="C17" s="767"/>
      <c r="D17" s="767"/>
      <c r="E17" s="758"/>
      <c r="F17" s="758"/>
      <c r="G17" s="767"/>
      <c r="H17" s="758"/>
      <c r="I17" s="758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4" t="s">
        <v>7</v>
      </c>
      <c r="B18" s="56" t="s">
        <v>8</v>
      </c>
      <c r="C18" s="56" t="s">
        <v>320</v>
      </c>
      <c r="D18" s="51"/>
      <c r="E18" s="51"/>
      <c r="F18" s="51" t="s">
        <v>159</v>
      </c>
      <c r="G18" s="56" t="s">
        <v>158</v>
      </c>
      <c r="H18" s="302" t="s">
        <v>1107</v>
      </c>
      <c r="I18" s="42">
        <v>1399795</v>
      </c>
      <c r="J18" s="368" t="s">
        <v>149</v>
      </c>
      <c r="K18" s="546">
        <v>3.8</v>
      </c>
      <c r="L18" s="173">
        <f>71222-56941</f>
        <v>14281</v>
      </c>
      <c r="M18" s="170"/>
      <c r="N18" s="170"/>
      <c r="O18" s="171">
        <f>L18</f>
        <v>14281</v>
      </c>
      <c r="P18" s="173">
        <f>71222-56941</f>
        <v>14281</v>
      </c>
      <c r="Q18" s="170"/>
      <c r="R18" s="170"/>
      <c r="S18" s="171">
        <f>P18</f>
        <v>14281</v>
      </c>
      <c r="T18" s="173">
        <f>O18+S18</f>
        <v>28562</v>
      </c>
      <c r="U18" s="170"/>
      <c r="V18" s="170"/>
      <c r="W18" s="171">
        <f>T18</f>
        <v>28562</v>
      </c>
    </row>
    <row r="19" spans="1:23" ht="29.25">
      <c r="A19" s="234" t="s">
        <v>7</v>
      </c>
      <c r="B19" s="56" t="s">
        <v>8</v>
      </c>
      <c r="C19" s="56" t="s">
        <v>1902</v>
      </c>
      <c r="D19" s="51"/>
      <c r="E19" s="51"/>
      <c r="F19" s="51" t="s">
        <v>159</v>
      </c>
      <c r="G19" s="56" t="s">
        <v>158</v>
      </c>
      <c r="H19" s="302" t="s">
        <v>1108</v>
      </c>
      <c r="I19" s="42">
        <v>83425858</v>
      </c>
      <c r="J19" s="368" t="s">
        <v>149</v>
      </c>
      <c r="K19" s="546">
        <v>2.2</v>
      </c>
      <c r="L19" s="173">
        <f>57122-45813</f>
        <v>11309</v>
      </c>
      <c r="M19" s="170"/>
      <c r="N19" s="170"/>
      <c r="O19" s="171">
        <f aca="true" t="shared" si="0" ref="O19:O82">L19</f>
        <v>11309</v>
      </c>
      <c r="P19" s="173">
        <f>57122-45813</f>
        <v>11309</v>
      </c>
      <c r="Q19" s="170"/>
      <c r="R19" s="170"/>
      <c r="S19" s="171">
        <f aca="true" t="shared" si="1" ref="S19:S82">P19</f>
        <v>11309</v>
      </c>
      <c r="T19" s="173">
        <f aca="true" t="shared" si="2" ref="T19:T82">O19+S19</f>
        <v>22618</v>
      </c>
      <c r="U19" s="170"/>
      <c r="V19" s="170"/>
      <c r="W19" s="171">
        <f aca="true" t="shared" si="3" ref="W19:W82">T19</f>
        <v>22618</v>
      </c>
    </row>
    <row r="20" spans="1:23" ht="29.25">
      <c r="A20" s="234" t="s">
        <v>7</v>
      </c>
      <c r="B20" s="56" t="s">
        <v>8</v>
      </c>
      <c r="C20" s="56" t="s">
        <v>319</v>
      </c>
      <c r="D20" s="51"/>
      <c r="E20" s="51"/>
      <c r="F20" s="51" t="s">
        <v>159</v>
      </c>
      <c r="G20" s="56" t="s">
        <v>158</v>
      </c>
      <c r="H20" s="302" t="s">
        <v>1101</v>
      </c>
      <c r="I20" s="42">
        <v>1393845</v>
      </c>
      <c r="J20" s="368" t="s">
        <v>149</v>
      </c>
      <c r="K20" s="546">
        <v>0.6</v>
      </c>
      <c r="L20" s="173">
        <f>22523-18103</f>
        <v>4420</v>
      </c>
      <c r="M20" s="170"/>
      <c r="N20" s="170"/>
      <c r="O20" s="171">
        <f t="shared" si="0"/>
        <v>4420</v>
      </c>
      <c r="P20" s="173">
        <f>22523-18103</f>
        <v>4420</v>
      </c>
      <c r="Q20" s="170"/>
      <c r="R20" s="170"/>
      <c r="S20" s="171">
        <f t="shared" si="1"/>
        <v>4420</v>
      </c>
      <c r="T20" s="173">
        <f t="shared" si="2"/>
        <v>8840</v>
      </c>
      <c r="U20" s="170"/>
      <c r="V20" s="170"/>
      <c r="W20" s="171">
        <f t="shared" si="3"/>
        <v>8840</v>
      </c>
    </row>
    <row r="21" spans="1:23" ht="29.25">
      <c r="A21" s="234" t="s">
        <v>7</v>
      </c>
      <c r="B21" s="56" t="s">
        <v>8</v>
      </c>
      <c r="C21" s="56" t="s">
        <v>353</v>
      </c>
      <c r="D21" s="51"/>
      <c r="E21" s="51"/>
      <c r="F21" s="51" t="s">
        <v>159</v>
      </c>
      <c r="G21" s="56" t="s">
        <v>158</v>
      </c>
      <c r="H21" s="302" t="s">
        <v>1156</v>
      </c>
      <c r="I21" s="42">
        <v>83426460</v>
      </c>
      <c r="J21" s="368" t="s">
        <v>149</v>
      </c>
      <c r="K21" s="546">
        <v>2.2</v>
      </c>
      <c r="L21" s="173">
        <f>27048-21030</f>
        <v>6018</v>
      </c>
      <c r="M21" s="170"/>
      <c r="N21" s="170"/>
      <c r="O21" s="171">
        <f t="shared" si="0"/>
        <v>6018</v>
      </c>
      <c r="P21" s="173">
        <f>27048-21030</f>
        <v>6018</v>
      </c>
      <c r="Q21" s="170"/>
      <c r="R21" s="170"/>
      <c r="S21" s="171">
        <f t="shared" si="1"/>
        <v>6018</v>
      </c>
      <c r="T21" s="173">
        <f t="shared" si="2"/>
        <v>12036</v>
      </c>
      <c r="U21" s="170"/>
      <c r="V21" s="170"/>
      <c r="W21" s="171">
        <f t="shared" si="3"/>
        <v>12036</v>
      </c>
    </row>
    <row r="22" spans="1:23" ht="29.25">
      <c r="A22" s="234" t="s">
        <v>7</v>
      </c>
      <c r="B22" s="56" t="s">
        <v>8</v>
      </c>
      <c r="C22" s="56" t="s">
        <v>347</v>
      </c>
      <c r="D22" s="51"/>
      <c r="E22" s="51"/>
      <c r="F22" s="51" t="s">
        <v>159</v>
      </c>
      <c r="G22" s="56" t="s">
        <v>158</v>
      </c>
      <c r="H22" s="302" t="s">
        <v>1148</v>
      </c>
      <c r="I22" s="42">
        <v>83426540</v>
      </c>
      <c r="J22" s="368" t="s">
        <v>149</v>
      </c>
      <c r="K22" s="546">
        <v>2.2</v>
      </c>
      <c r="L22" s="173">
        <f>30099-22773</f>
        <v>7326</v>
      </c>
      <c r="M22" s="170"/>
      <c r="N22" s="170"/>
      <c r="O22" s="171">
        <f t="shared" si="0"/>
        <v>7326</v>
      </c>
      <c r="P22" s="173">
        <f>30099-22773</f>
        <v>7326</v>
      </c>
      <c r="Q22" s="170"/>
      <c r="R22" s="170"/>
      <c r="S22" s="171">
        <f t="shared" si="1"/>
        <v>7326</v>
      </c>
      <c r="T22" s="173">
        <f t="shared" si="2"/>
        <v>14652</v>
      </c>
      <c r="U22" s="170"/>
      <c r="V22" s="170"/>
      <c r="W22" s="171">
        <f t="shared" si="3"/>
        <v>14652</v>
      </c>
    </row>
    <row r="23" spans="1:23" ht="29.25">
      <c r="A23" s="234" t="s">
        <v>7</v>
      </c>
      <c r="B23" s="56" t="s">
        <v>8</v>
      </c>
      <c r="C23" s="56" t="s">
        <v>348</v>
      </c>
      <c r="D23" s="56" t="s">
        <v>349</v>
      </c>
      <c r="E23" s="51"/>
      <c r="F23" s="51" t="s">
        <v>159</v>
      </c>
      <c r="G23" s="56" t="s">
        <v>158</v>
      </c>
      <c r="H23" s="302" t="s">
        <v>1149</v>
      </c>
      <c r="I23" s="42">
        <v>83426446</v>
      </c>
      <c r="J23" s="368" t="s">
        <v>149</v>
      </c>
      <c r="K23" s="546">
        <v>1</v>
      </c>
      <c r="L23" s="173">
        <f>42346-33912</f>
        <v>8434</v>
      </c>
      <c r="M23" s="170"/>
      <c r="N23" s="170"/>
      <c r="O23" s="171">
        <f t="shared" si="0"/>
        <v>8434</v>
      </c>
      <c r="P23" s="173">
        <f>42346-33912</f>
        <v>8434</v>
      </c>
      <c r="Q23" s="170"/>
      <c r="R23" s="170"/>
      <c r="S23" s="171">
        <f t="shared" si="1"/>
        <v>8434</v>
      </c>
      <c r="T23" s="173">
        <f t="shared" si="2"/>
        <v>16868</v>
      </c>
      <c r="U23" s="170"/>
      <c r="V23" s="170"/>
      <c r="W23" s="171">
        <f t="shared" si="3"/>
        <v>16868</v>
      </c>
    </row>
    <row r="24" spans="1:23" ht="29.25">
      <c r="A24" s="234" t="s">
        <v>7</v>
      </c>
      <c r="B24" s="56" t="s">
        <v>8</v>
      </c>
      <c r="C24" s="56" t="s">
        <v>354</v>
      </c>
      <c r="D24" s="51"/>
      <c r="E24" s="51"/>
      <c r="F24" s="51" t="s">
        <v>159</v>
      </c>
      <c r="G24" s="56" t="s">
        <v>158</v>
      </c>
      <c r="H24" s="302" t="s">
        <v>1058</v>
      </c>
      <c r="I24" s="42">
        <v>83426435</v>
      </c>
      <c r="J24" s="368" t="s">
        <v>149</v>
      </c>
      <c r="K24" s="546">
        <v>1.4</v>
      </c>
      <c r="L24" s="173">
        <f>40985-32596</f>
        <v>8389</v>
      </c>
      <c r="M24" s="170"/>
      <c r="N24" s="170"/>
      <c r="O24" s="171">
        <f t="shared" si="0"/>
        <v>8389</v>
      </c>
      <c r="P24" s="173">
        <f>40985-32596</f>
        <v>8389</v>
      </c>
      <c r="Q24" s="170"/>
      <c r="R24" s="170"/>
      <c r="S24" s="171">
        <f t="shared" si="1"/>
        <v>8389</v>
      </c>
      <c r="T24" s="173">
        <f t="shared" si="2"/>
        <v>16778</v>
      </c>
      <c r="U24" s="170"/>
      <c r="V24" s="170"/>
      <c r="W24" s="171">
        <f t="shared" si="3"/>
        <v>16778</v>
      </c>
    </row>
    <row r="25" spans="1:23" ht="29.25">
      <c r="A25" s="234" t="s">
        <v>7</v>
      </c>
      <c r="B25" s="56" t="s">
        <v>8</v>
      </c>
      <c r="C25" s="56" t="s">
        <v>316</v>
      </c>
      <c r="D25" s="51"/>
      <c r="E25" s="51">
        <v>7</v>
      </c>
      <c r="F25" s="51" t="s">
        <v>159</v>
      </c>
      <c r="G25" s="56" t="s">
        <v>158</v>
      </c>
      <c r="H25" s="302" t="s">
        <v>1091</v>
      </c>
      <c r="I25" s="42">
        <v>1399797</v>
      </c>
      <c r="J25" s="368" t="s">
        <v>149</v>
      </c>
      <c r="K25" s="546">
        <v>2.2</v>
      </c>
      <c r="L25" s="173">
        <f>37146-29394</f>
        <v>7752</v>
      </c>
      <c r="M25" s="170"/>
      <c r="N25" s="170"/>
      <c r="O25" s="171">
        <f t="shared" si="0"/>
        <v>7752</v>
      </c>
      <c r="P25" s="173">
        <f>37146-29394</f>
        <v>7752</v>
      </c>
      <c r="Q25" s="170"/>
      <c r="R25" s="170"/>
      <c r="S25" s="171">
        <f t="shared" si="1"/>
        <v>7752</v>
      </c>
      <c r="T25" s="173">
        <f t="shared" si="2"/>
        <v>15504</v>
      </c>
      <c r="U25" s="170"/>
      <c r="V25" s="170"/>
      <c r="W25" s="171">
        <f t="shared" si="3"/>
        <v>15504</v>
      </c>
    </row>
    <row r="26" spans="1:23" ht="29.25">
      <c r="A26" s="234" t="s">
        <v>7</v>
      </c>
      <c r="B26" s="56" t="s">
        <v>8</v>
      </c>
      <c r="C26" s="56" t="s">
        <v>293</v>
      </c>
      <c r="D26" s="51"/>
      <c r="E26" s="51"/>
      <c r="F26" s="51" t="s">
        <v>159</v>
      </c>
      <c r="G26" s="56" t="s">
        <v>158</v>
      </c>
      <c r="H26" s="302" t="s">
        <v>1159</v>
      </c>
      <c r="I26" s="42">
        <v>1398828</v>
      </c>
      <c r="J26" s="368" t="s">
        <v>149</v>
      </c>
      <c r="K26" s="546">
        <v>2.2</v>
      </c>
      <c r="L26" s="173">
        <f>42407-34049</f>
        <v>8358</v>
      </c>
      <c r="M26" s="170"/>
      <c r="N26" s="170"/>
      <c r="O26" s="171">
        <f t="shared" si="0"/>
        <v>8358</v>
      </c>
      <c r="P26" s="173">
        <f>42407-34049</f>
        <v>8358</v>
      </c>
      <c r="Q26" s="170"/>
      <c r="R26" s="170"/>
      <c r="S26" s="171">
        <f t="shared" si="1"/>
        <v>8358</v>
      </c>
      <c r="T26" s="173">
        <f t="shared" si="2"/>
        <v>16716</v>
      </c>
      <c r="U26" s="170"/>
      <c r="V26" s="170"/>
      <c r="W26" s="171">
        <f t="shared" si="3"/>
        <v>16716</v>
      </c>
    </row>
    <row r="27" spans="1:23" ht="29.25">
      <c r="A27" s="234" t="s">
        <v>7</v>
      </c>
      <c r="B27" s="56" t="s">
        <v>8</v>
      </c>
      <c r="C27" s="56" t="s">
        <v>317</v>
      </c>
      <c r="D27" s="51"/>
      <c r="E27" s="51">
        <v>55</v>
      </c>
      <c r="F27" s="51" t="s">
        <v>159</v>
      </c>
      <c r="G27" s="56" t="s">
        <v>158</v>
      </c>
      <c r="H27" s="302" t="s">
        <v>1094</v>
      </c>
      <c r="I27" s="42">
        <v>1394967</v>
      </c>
      <c r="J27" s="368" t="s">
        <v>149</v>
      </c>
      <c r="K27" s="546">
        <v>2.5</v>
      </c>
      <c r="L27" s="173">
        <f>60877-49326</f>
        <v>11551</v>
      </c>
      <c r="M27" s="170"/>
      <c r="N27" s="170"/>
      <c r="O27" s="171">
        <f t="shared" si="0"/>
        <v>11551</v>
      </c>
      <c r="P27" s="173">
        <f>60877-49326</f>
        <v>11551</v>
      </c>
      <c r="Q27" s="170"/>
      <c r="R27" s="170"/>
      <c r="S27" s="171">
        <f t="shared" si="1"/>
        <v>11551</v>
      </c>
      <c r="T27" s="173">
        <f t="shared" si="2"/>
        <v>23102</v>
      </c>
      <c r="U27" s="170"/>
      <c r="V27" s="170"/>
      <c r="W27" s="171">
        <f t="shared" si="3"/>
        <v>23102</v>
      </c>
    </row>
    <row r="28" spans="1:23" ht="29.25">
      <c r="A28" s="234" t="s">
        <v>7</v>
      </c>
      <c r="B28" s="56" t="s">
        <v>8</v>
      </c>
      <c r="C28" s="56" t="s">
        <v>2155</v>
      </c>
      <c r="D28" s="51"/>
      <c r="E28" s="51"/>
      <c r="F28" s="51" t="s">
        <v>159</v>
      </c>
      <c r="G28" s="56" t="s">
        <v>158</v>
      </c>
      <c r="H28" s="302" t="s">
        <v>1092</v>
      </c>
      <c r="I28" s="42">
        <v>1399805</v>
      </c>
      <c r="J28" s="368" t="s">
        <v>149</v>
      </c>
      <c r="K28" s="546">
        <v>1.1</v>
      </c>
      <c r="L28" s="173">
        <f>41891-33545</f>
        <v>8346</v>
      </c>
      <c r="M28" s="170"/>
      <c r="N28" s="170"/>
      <c r="O28" s="171">
        <f t="shared" si="0"/>
        <v>8346</v>
      </c>
      <c r="P28" s="173">
        <f>41891-33545</f>
        <v>8346</v>
      </c>
      <c r="Q28" s="170"/>
      <c r="R28" s="170"/>
      <c r="S28" s="171">
        <f t="shared" si="1"/>
        <v>8346</v>
      </c>
      <c r="T28" s="173">
        <f t="shared" si="2"/>
        <v>16692</v>
      </c>
      <c r="U28" s="170"/>
      <c r="V28" s="170"/>
      <c r="W28" s="171">
        <f t="shared" si="3"/>
        <v>16692</v>
      </c>
    </row>
    <row r="29" spans="1:23" ht="29.25">
      <c r="A29" s="234" t="s">
        <v>7</v>
      </c>
      <c r="B29" s="56" t="s">
        <v>8</v>
      </c>
      <c r="C29" s="56" t="s">
        <v>314</v>
      </c>
      <c r="D29" s="51"/>
      <c r="E29" s="51"/>
      <c r="F29" s="51" t="s">
        <v>159</v>
      </c>
      <c r="G29" s="56" t="s">
        <v>158</v>
      </c>
      <c r="H29" s="302" t="s">
        <v>1088</v>
      </c>
      <c r="I29" s="42">
        <v>1399804</v>
      </c>
      <c r="J29" s="368" t="s">
        <v>149</v>
      </c>
      <c r="K29" s="546">
        <v>2.2</v>
      </c>
      <c r="L29" s="173">
        <f>10166-8406</f>
        <v>1760</v>
      </c>
      <c r="M29" s="170"/>
      <c r="N29" s="170"/>
      <c r="O29" s="171">
        <f t="shared" si="0"/>
        <v>1760</v>
      </c>
      <c r="P29" s="173">
        <f>10166-8406</f>
        <v>1760</v>
      </c>
      <c r="Q29" s="170"/>
      <c r="R29" s="170"/>
      <c r="S29" s="171">
        <f t="shared" si="1"/>
        <v>1760</v>
      </c>
      <c r="T29" s="173">
        <f t="shared" si="2"/>
        <v>3520</v>
      </c>
      <c r="U29" s="170"/>
      <c r="V29" s="170"/>
      <c r="W29" s="171">
        <f t="shared" si="3"/>
        <v>3520</v>
      </c>
    </row>
    <row r="30" spans="1:23" ht="29.25">
      <c r="A30" s="234" t="s">
        <v>7</v>
      </c>
      <c r="B30" s="56" t="s">
        <v>8</v>
      </c>
      <c r="C30" s="56" t="s">
        <v>346</v>
      </c>
      <c r="D30" s="51"/>
      <c r="E30" s="51"/>
      <c r="F30" s="51" t="s">
        <v>159</v>
      </c>
      <c r="G30" s="56" t="s">
        <v>158</v>
      </c>
      <c r="H30" s="302" t="s">
        <v>1146</v>
      </c>
      <c r="I30" s="42">
        <v>83426520</v>
      </c>
      <c r="J30" s="368" t="s">
        <v>149</v>
      </c>
      <c r="K30" s="546">
        <v>0.8</v>
      </c>
      <c r="L30" s="173">
        <f>11436-8788</f>
        <v>2648</v>
      </c>
      <c r="M30" s="170"/>
      <c r="N30" s="170"/>
      <c r="O30" s="171">
        <f t="shared" si="0"/>
        <v>2648</v>
      </c>
      <c r="P30" s="173">
        <f>11436-8788</f>
        <v>2648</v>
      </c>
      <c r="Q30" s="170"/>
      <c r="R30" s="170"/>
      <c r="S30" s="171">
        <f t="shared" si="1"/>
        <v>2648</v>
      </c>
      <c r="T30" s="173">
        <f t="shared" si="2"/>
        <v>5296</v>
      </c>
      <c r="U30" s="170"/>
      <c r="V30" s="170"/>
      <c r="W30" s="171">
        <f t="shared" si="3"/>
        <v>5296</v>
      </c>
    </row>
    <row r="31" spans="1:23" ht="29.25">
      <c r="A31" s="234" t="s">
        <v>7</v>
      </c>
      <c r="B31" s="56" t="s">
        <v>8</v>
      </c>
      <c r="C31" s="56" t="s">
        <v>293</v>
      </c>
      <c r="D31" s="51"/>
      <c r="E31" s="51"/>
      <c r="F31" s="51" t="s">
        <v>159</v>
      </c>
      <c r="G31" s="56" t="s">
        <v>158</v>
      </c>
      <c r="H31" s="302" t="s">
        <v>1160</v>
      </c>
      <c r="I31" s="42">
        <v>83425927</v>
      </c>
      <c r="J31" s="368" t="s">
        <v>149</v>
      </c>
      <c r="K31" s="546">
        <v>2.2</v>
      </c>
      <c r="L31" s="173">
        <f>75507-60089</f>
        <v>15418</v>
      </c>
      <c r="M31" s="170"/>
      <c r="N31" s="170"/>
      <c r="O31" s="171">
        <f t="shared" si="0"/>
        <v>15418</v>
      </c>
      <c r="P31" s="173">
        <f>75507-60089</f>
        <v>15418</v>
      </c>
      <c r="Q31" s="170"/>
      <c r="R31" s="170"/>
      <c r="S31" s="171">
        <f t="shared" si="1"/>
        <v>15418</v>
      </c>
      <c r="T31" s="173">
        <f t="shared" si="2"/>
        <v>30836</v>
      </c>
      <c r="U31" s="170"/>
      <c r="V31" s="170"/>
      <c r="W31" s="171">
        <f t="shared" si="3"/>
        <v>30836</v>
      </c>
    </row>
    <row r="32" spans="1:23" ht="29.25">
      <c r="A32" s="234" t="s">
        <v>7</v>
      </c>
      <c r="B32" s="56" t="s">
        <v>8</v>
      </c>
      <c r="C32" s="56" t="s">
        <v>318</v>
      </c>
      <c r="D32" s="51"/>
      <c r="E32" s="51">
        <v>14</v>
      </c>
      <c r="F32" s="51" t="s">
        <v>159</v>
      </c>
      <c r="G32" s="56" t="s">
        <v>158</v>
      </c>
      <c r="H32" s="302" t="s">
        <v>1095</v>
      </c>
      <c r="I32" s="42">
        <v>1404287</v>
      </c>
      <c r="J32" s="368" t="s">
        <v>149</v>
      </c>
      <c r="K32" s="546">
        <v>2.2</v>
      </c>
      <c r="L32" s="173">
        <f>38211-30293</f>
        <v>7918</v>
      </c>
      <c r="M32" s="170"/>
      <c r="N32" s="170"/>
      <c r="O32" s="171">
        <f t="shared" si="0"/>
        <v>7918</v>
      </c>
      <c r="P32" s="173">
        <f>38211-30293</f>
        <v>7918</v>
      </c>
      <c r="Q32" s="170"/>
      <c r="R32" s="170"/>
      <c r="S32" s="171">
        <f t="shared" si="1"/>
        <v>7918</v>
      </c>
      <c r="T32" s="173">
        <f t="shared" si="2"/>
        <v>15836</v>
      </c>
      <c r="U32" s="170"/>
      <c r="V32" s="170"/>
      <c r="W32" s="171">
        <f t="shared" si="3"/>
        <v>15836</v>
      </c>
    </row>
    <row r="33" spans="1:23" ht="29.25">
      <c r="A33" s="234" t="s">
        <v>7</v>
      </c>
      <c r="B33" s="56" t="s">
        <v>8</v>
      </c>
      <c r="C33" s="56" t="s">
        <v>353</v>
      </c>
      <c r="D33" s="51"/>
      <c r="E33" s="51">
        <v>22</v>
      </c>
      <c r="F33" s="51" t="s">
        <v>159</v>
      </c>
      <c r="G33" s="56" t="s">
        <v>158</v>
      </c>
      <c r="H33" s="302" t="s">
        <v>1157</v>
      </c>
      <c r="I33" s="42">
        <v>1399802</v>
      </c>
      <c r="J33" s="368" t="s">
        <v>149</v>
      </c>
      <c r="K33" s="546">
        <v>1.5</v>
      </c>
      <c r="L33" s="173">
        <f>47976-38333</f>
        <v>9643</v>
      </c>
      <c r="M33" s="170"/>
      <c r="N33" s="170"/>
      <c r="O33" s="171">
        <f t="shared" si="0"/>
        <v>9643</v>
      </c>
      <c r="P33" s="173">
        <f>47976-38333</f>
        <v>9643</v>
      </c>
      <c r="Q33" s="170"/>
      <c r="R33" s="170"/>
      <c r="S33" s="171">
        <f t="shared" si="1"/>
        <v>9643</v>
      </c>
      <c r="T33" s="173">
        <f t="shared" si="2"/>
        <v>19286</v>
      </c>
      <c r="U33" s="170"/>
      <c r="V33" s="170"/>
      <c r="W33" s="171">
        <f t="shared" si="3"/>
        <v>19286</v>
      </c>
    </row>
    <row r="34" spans="1:23" ht="29.25">
      <c r="A34" s="234" t="s">
        <v>7</v>
      </c>
      <c r="B34" s="56" t="s">
        <v>8</v>
      </c>
      <c r="C34" s="56" t="s">
        <v>348</v>
      </c>
      <c r="D34" s="56" t="s">
        <v>57</v>
      </c>
      <c r="E34" s="51"/>
      <c r="F34" s="51" t="s">
        <v>159</v>
      </c>
      <c r="G34" s="56" t="s">
        <v>158</v>
      </c>
      <c r="H34" s="302" t="s">
        <v>1150</v>
      </c>
      <c r="I34" s="42">
        <v>83426439</v>
      </c>
      <c r="J34" s="368" t="s">
        <v>149</v>
      </c>
      <c r="K34" s="546">
        <v>1</v>
      </c>
      <c r="L34" s="173">
        <f>8868-7024</f>
        <v>1844</v>
      </c>
      <c r="M34" s="170"/>
      <c r="N34" s="170"/>
      <c r="O34" s="171">
        <f t="shared" si="0"/>
        <v>1844</v>
      </c>
      <c r="P34" s="173">
        <f>8868-7024</f>
        <v>1844</v>
      </c>
      <c r="Q34" s="170"/>
      <c r="R34" s="170"/>
      <c r="S34" s="171">
        <f t="shared" si="1"/>
        <v>1844</v>
      </c>
      <c r="T34" s="173">
        <f t="shared" si="2"/>
        <v>3688</v>
      </c>
      <c r="U34" s="170"/>
      <c r="V34" s="170"/>
      <c r="W34" s="171">
        <f t="shared" si="3"/>
        <v>3688</v>
      </c>
    </row>
    <row r="35" spans="1:23" ht="29.25">
      <c r="A35" s="234" t="s">
        <v>7</v>
      </c>
      <c r="B35" s="56" t="s">
        <v>8</v>
      </c>
      <c r="C35" s="56" t="s">
        <v>317</v>
      </c>
      <c r="D35" s="51"/>
      <c r="E35" s="51"/>
      <c r="F35" s="51" t="s">
        <v>159</v>
      </c>
      <c r="G35" s="56" t="s">
        <v>158</v>
      </c>
      <c r="H35" s="302" t="s">
        <v>1099</v>
      </c>
      <c r="I35" s="42">
        <v>1399811</v>
      </c>
      <c r="J35" s="368" t="s">
        <v>149</v>
      </c>
      <c r="K35" s="546">
        <v>2.2</v>
      </c>
      <c r="L35" s="173">
        <f>27889-20894</f>
        <v>6995</v>
      </c>
      <c r="M35" s="170"/>
      <c r="N35" s="170"/>
      <c r="O35" s="171">
        <f t="shared" si="0"/>
        <v>6995</v>
      </c>
      <c r="P35" s="173">
        <f>27889-20894</f>
        <v>6995</v>
      </c>
      <c r="Q35" s="170"/>
      <c r="R35" s="170"/>
      <c r="S35" s="171">
        <f t="shared" si="1"/>
        <v>6995</v>
      </c>
      <c r="T35" s="173">
        <f t="shared" si="2"/>
        <v>13990</v>
      </c>
      <c r="U35" s="170"/>
      <c r="V35" s="170"/>
      <c r="W35" s="171">
        <f t="shared" si="3"/>
        <v>13990</v>
      </c>
    </row>
    <row r="36" spans="1:23" ht="29.25">
      <c r="A36" s="234" t="s">
        <v>7</v>
      </c>
      <c r="B36" s="56" t="s">
        <v>8</v>
      </c>
      <c r="C36" s="56" t="s">
        <v>1901</v>
      </c>
      <c r="D36" s="56" t="s">
        <v>1693</v>
      </c>
      <c r="E36" s="51"/>
      <c r="F36" s="51" t="s">
        <v>159</v>
      </c>
      <c r="G36" s="56" t="s">
        <v>158</v>
      </c>
      <c r="H36" s="302" t="s">
        <v>1057</v>
      </c>
      <c r="I36" s="42">
        <v>1404293</v>
      </c>
      <c r="J36" s="368" t="s">
        <v>149</v>
      </c>
      <c r="K36" s="546">
        <v>3</v>
      </c>
      <c r="L36" s="173">
        <f>27851-23631</f>
        <v>4220</v>
      </c>
      <c r="M36" s="170"/>
      <c r="N36" s="170"/>
      <c r="O36" s="171">
        <f t="shared" si="0"/>
        <v>4220</v>
      </c>
      <c r="P36" s="173">
        <f>27851-23631</f>
        <v>4220</v>
      </c>
      <c r="Q36" s="170"/>
      <c r="R36" s="170"/>
      <c r="S36" s="171">
        <f t="shared" si="1"/>
        <v>4220</v>
      </c>
      <c r="T36" s="173">
        <f t="shared" si="2"/>
        <v>8440</v>
      </c>
      <c r="U36" s="170"/>
      <c r="V36" s="170"/>
      <c r="W36" s="171">
        <f t="shared" si="3"/>
        <v>8440</v>
      </c>
    </row>
    <row r="37" spans="1:23" ht="29.25">
      <c r="A37" s="234" t="s">
        <v>7</v>
      </c>
      <c r="B37" s="56" t="s">
        <v>8</v>
      </c>
      <c r="C37" s="56" t="s">
        <v>348</v>
      </c>
      <c r="D37" s="51"/>
      <c r="E37" s="51"/>
      <c r="F37" s="51" t="s">
        <v>159</v>
      </c>
      <c r="G37" s="56" t="s">
        <v>158</v>
      </c>
      <c r="H37" s="302" t="s">
        <v>1154</v>
      </c>
      <c r="I37" s="42">
        <v>83426463</v>
      </c>
      <c r="J37" s="368" t="s">
        <v>149</v>
      </c>
      <c r="K37" s="546">
        <v>2.1</v>
      </c>
      <c r="L37" s="173">
        <f>27527-21911</f>
        <v>5616</v>
      </c>
      <c r="M37" s="170"/>
      <c r="N37" s="170"/>
      <c r="O37" s="171">
        <f t="shared" si="0"/>
        <v>5616</v>
      </c>
      <c r="P37" s="173">
        <f>27527-21911</f>
        <v>5616</v>
      </c>
      <c r="Q37" s="170"/>
      <c r="R37" s="170"/>
      <c r="S37" s="171">
        <f t="shared" si="1"/>
        <v>5616</v>
      </c>
      <c r="T37" s="173">
        <f t="shared" si="2"/>
        <v>11232</v>
      </c>
      <c r="U37" s="170"/>
      <c r="V37" s="170"/>
      <c r="W37" s="171">
        <f t="shared" si="3"/>
        <v>11232</v>
      </c>
    </row>
    <row r="38" spans="1:23" ht="29.25">
      <c r="A38" s="234" t="s">
        <v>7</v>
      </c>
      <c r="B38" s="56" t="s">
        <v>8</v>
      </c>
      <c r="C38" s="56" t="s">
        <v>319</v>
      </c>
      <c r="D38" s="51"/>
      <c r="E38" s="51"/>
      <c r="F38" s="51" t="s">
        <v>159</v>
      </c>
      <c r="G38" s="56" t="s">
        <v>158</v>
      </c>
      <c r="H38" s="302" t="s">
        <v>1102</v>
      </c>
      <c r="I38" s="42">
        <v>1399800</v>
      </c>
      <c r="J38" s="368" t="s">
        <v>149</v>
      </c>
      <c r="K38" s="546">
        <v>2.2</v>
      </c>
      <c r="L38" s="173">
        <f>24765-20375</f>
        <v>4390</v>
      </c>
      <c r="M38" s="170"/>
      <c r="N38" s="170"/>
      <c r="O38" s="171">
        <f t="shared" si="0"/>
        <v>4390</v>
      </c>
      <c r="P38" s="173">
        <f>24765-20375</f>
        <v>4390</v>
      </c>
      <c r="Q38" s="170"/>
      <c r="R38" s="170"/>
      <c r="S38" s="171">
        <f t="shared" si="1"/>
        <v>4390</v>
      </c>
      <c r="T38" s="173">
        <f t="shared" si="2"/>
        <v>8780</v>
      </c>
      <c r="U38" s="170"/>
      <c r="V38" s="170"/>
      <c r="W38" s="171">
        <f t="shared" si="3"/>
        <v>8780</v>
      </c>
    </row>
    <row r="39" spans="1:23" ht="29.25">
      <c r="A39" s="234" t="s">
        <v>7</v>
      </c>
      <c r="B39" s="56" t="s">
        <v>8</v>
      </c>
      <c r="C39" s="56" t="s">
        <v>348</v>
      </c>
      <c r="D39" s="56" t="s">
        <v>351</v>
      </c>
      <c r="E39" s="51"/>
      <c r="F39" s="51" t="s">
        <v>159</v>
      </c>
      <c r="G39" s="56" t="s">
        <v>158</v>
      </c>
      <c r="H39" s="302" t="s">
        <v>1152</v>
      </c>
      <c r="I39" s="42">
        <v>83426433</v>
      </c>
      <c r="J39" s="368" t="s">
        <v>149</v>
      </c>
      <c r="K39" s="546">
        <v>1.7</v>
      </c>
      <c r="L39" s="173">
        <f>36466-28940</f>
        <v>7526</v>
      </c>
      <c r="M39" s="170"/>
      <c r="N39" s="170"/>
      <c r="O39" s="171">
        <f t="shared" si="0"/>
        <v>7526</v>
      </c>
      <c r="P39" s="173">
        <f>36466-28940</f>
        <v>7526</v>
      </c>
      <c r="Q39" s="170"/>
      <c r="R39" s="170"/>
      <c r="S39" s="171">
        <f t="shared" si="1"/>
        <v>7526</v>
      </c>
      <c r="T39" s="173">
        <f t="shared" si="2"/>
        <v>15052</v>
      </c>
      <c r="U39" s="170"/>
      <c r="V39" s="170"/>
      <c r="W39" s="171">
        <f t="shared" si="3"/>
        <v>15052</v>
      </c>
    </row>
    <row r="40" spans="1:23" ht="29.25">
      <c r="A40" s="234" t="s">
        <v>7</v>
      </c>
      <c r="B40" s="56" t="s">
        <v>8</v>
      </c>
      <c r="C40" s="56" t="s">
        <v>353</v>
      </c>
      <c r="D40" s="51"/>
      <c r="E40" s="51"/>
      <c r="F40" s="51" t="s">
        <v>159</v>
      </c>
      <c r="G40" s="56" t="s">
        <v>158</v>
      </c>
      <c r="H40" s="302" t="s">
        <v>1158</v>
      </c>
      <c r="I40" s="42">
        <v>83426537</v>
      </c>
      <c r="J40" s="368" t="s">
        <v>149</v>
      </c>
      <c r="K40" s="546">
        <v>2.2</v>
      </c>
      <c r="L40" s="173">
        <f>31769-24267</f>
        <v>7502</v>
      </c>
      <c r="M40" s="170"/>
      <c r="N40" s="170"/>
      <c r="O40" s="171">
        <f t="shared" si="0"/>
        <v>7502</v>
      </c>
      <c r="P40" s="173">
        <f>31769-24267</f>
        <v>7502</v>
      </c>
      <c r="Q40" s="170"/>
      <c r="R40" s="170"/>
      <c r="S40" s="171">
        <f t="shared" si="1"/>
        <v>7502</v>
      </c>
      <c r="T40" s="173">
        <f t="shared" si="2"/>
        <v>15004</v>
      </c>
      <c r="U40" s="170"/>
      <c r="V40" s="170"/>
      <c r="W40" s="171">
        <f t="shared" si="3"/>
        <v>15004</v>
      </c>
    </row>
    <row r="41" spans="1:23" ht="29.25">
      <c r="A41" s="234" t="s">
        <v>7</v>
      </c>
      <c r="B41" s="56" t="s">
        <v>8</v>
      </c>
      <c r="C41" s="56" t="s">
        <v>317</v>
      </c>
      <c r="D41" s="51"/>
      <c r="E41" s="51">
        <v>26</v>
      </c>
      <c r="F41" s="51" t="s">
        <v>159</v>
      </c>
      <c r="G41" s="56" t="s">
        <v>158</v>
      </c>
      <c r="H41" s="302" t="s">
        <v>1100</v>
      </c>
      <c r="I41" s="42">
        <v>83425873</v>
      </c>
      <c r="J41" s="368" t="s">
        <v>149</v>
      </c>
      <c r="K41" s="546">
        <v>2.2</v>
      </c>
      <c r="L41" s="173">
        <f>34655-27634</f>
        <v>7021</v>
      </c>
      <c r="M41" s="170"/>
      <c r="N41" s="170"/>
      <c r="O41" s="171">
        <f t="shared" si="0"/>
        <v>7021</v>
      </c>
      <c r="P41" s="173">
        <f>34655-27634</f>
        <v>7021</v>
      </c>
      <c r="Q41" s="170"/>
      <c r="R41" s="170"/>
      <c r="S41" s="171">
        <f t="shared" si="1"/>
        <v>7021</v>
      </c>
      <c r="T41" s="173">
        <f t="shared" si="2"/>
        <v>14042</v>
      </c>
      <c r="U41" s="170"/>
      <c r="V41" s="170"/>
      <c r="W41" s="171">
        <f t="shared" si="3"/>
        <v>14042</v>
      </c>
    </row>
    <row r="42" spans="1:23" ht="29.25">
      <c r="A42" s="234" t="s">
        <v>7</v>
      </c>
      <c r="B42" s="56" t="s">
        <v>8</v>
      </c>
      <c r="C42" s="56" t="s">
        <v>314</v>
      </c>
      <c r="D42" s="51"/>
      <c r="E42" s="51">
        <v>34</v>
      </c>
      <c r="F42" s="51" t="s">
        <v>159</v>
      </c>
      <c r="G42" s="56" t="s">
        <v>158</v>
      </c>
      <c r="H42" s="302" t="s">
        <v>1089</v>
      </c>
      <c r="I42" s="42">
        <v>1387575</v>
      </c>
      <c r="J42" s="368" t="s">
        <v>149</v>
      </c>
      <c r="K42" s="546">
        <v>2.2</v>
      </c>
      <c r="L42" s="173">
        <f>14456-12622</f>
        <v>1834</v>
      </c>
      <c r="M42" s="170"/>
      <c r="N42" s="170"/>
      <c r="O42" s="171">
        <f t="shared" si="0"/>
        <v>1834</v>
      </c>
      <c r="P42" s="173">
        <f>14456-12622</f>
        <v>1834</v>
      </c>
      <c r="Q42" s="170"/>
      <c r="R42" s="170"/>
      <c r="S42" s="171">
        <f t="shared" si="1"/>
        <v>1834</v>
      </c>
      <c r="T42" s="173">
        <f t="shared" si="2"/>
        <v>3668</v>
      </c>
      <c r="U42" s="170"/>
      <c r="V42" s="170"/>
      <c r="W42" s="171">
        <f t="shared" si="3"/>
        <v>3668</v>
      </c>
    </row>
    <row r="43" spans="1:23" ht="29.25">
      <c r="A43" s="234" t="s">
        <v>7</v>
      </c>
      <c r="B43" s="56" t="s">
        <v>8</v>
      </c>
      <c r="C43" s="56" t="s">
        <v>338</v>
      </c>
      <c r="D43" s="56" t="s">
        <v>345</v>
      </c>
      <c r="E43" s="51">
        <v>5</v>
      </c>
      <c r="F43" s="51" t="s">
        <v>159</v>
      </c>
      <c r="G43" s="56" t="s">
        <v>158</v>
      </c>
      <c r="H43" s="302" t="s">
        <v>1145</v>
      </c>
      <c r="I43" s="42">
        <v>83247338</v>
      </c>
      <c r="J43" s="368" t="s">
        <v>149</v>
      </c>
      <c r="K43" s="546">
        <v>1.8</v>
      </c>
      <c r="L43" s="173">
        <f>33239-25685</f>
        <v>7554</v>
      </c>
      <c r="M43" s="170"/>
      <c r="N43" s="170"/>
      <c r="O43" s="171">
        <f t="shared" si="0"/>
        <v>7554</v>
      </c>
      <c r="P43" s="173">
        <f>33239-25685</f>
        <v>7554</v>
      </c>
      <c r="Q43" s="170"/>
      <c r="R43" s="170"/>
      <c r="S43" s="171">
        <f t="shared" si="1"/>
        <v>7554</v>
      </c>
      <c r="T43" s="173">
        <f t="shared" si="2"/>
        <v>15108</v>
      </c>
      <c r="U43" s="170"/>
      <c r="V43" s="170"/>
      <c r="W43" s="171">
        <f t="shared" si="3"/>
        <v>15108</v>
      </c>
    </row>
    <row r="44" spans="1:23" ht="29.25">
      <c r="A44" s="234" t="s">
        <v>7</v>
      </c>
      <c r="B44" s="56" t="s">
        <v>8</v>
      </c>
      <c r="C44" s="56" t="s">
        <v>348</v>
      </c>
      <c r="D44" s="56" t="s">
        <v>350</v>
      </c>
      <c r="E44" s="51"/>
      <c r="F44" s="51" t="s">
        <v>159</v>
      </c>
      <c r="G44" s="56" t="s">
        <v>158</v>
      </c>
      <c r="H44" s="302" t="s">
        <v>1151</v>
      </c>
      <c r="I44" s="42">
        <v>1393859</v>
      </c>
      <c r="J44" s="368" t="s">
        <v>149</v>
      </c>
      <c r="K44" s="546">
        <v>1.8</v>
      </c>
      <c r="L44" s="173">
        <f>32751-26183</f>
        <v>6568</v>
      </c>
      <c r="M44" s="170"/>
      <c r="N44" s="170"/>
      <c r="O44" s="171">
        <f t="shared" si="0"/>
        <v>6568</v>
      </c>
      <c r="P44" s="173">
        <f>32751-26183</f>
        <v>6568</v>
      </c>
      <c r="Q44" s="170"/>
      <c r="R44" s="170"/>
      <c r="S44" s="171">
        <f t="shared" si="1"/>
        <v>6568</v>
      </c>
      <c r="T44" s="173">
        <f t="shared" si="2"/>
        <v>13136</v>
      </c>
      <c r="U44" s="170"/>
      <c r="V44" s="170"/>
      <c r="W44" s="171">
        <f t="shared" si="3"/>
        <v>13136</v>
      </c>
    </row>
    <row r="45" spans="1:23" ht="29.25">
      <c r="A45" s="234" t="s">
        <v>7</v>
      </c>
      <c r="B45" s="56" t="s">
        <v>8</v>
      </c>
      <c r="C45" s="56" t="s">
        <v>347</v>
      </c>
      <c r="D45" s="51"/>
      <c r="E45" s="51"/>
      <c r="F45" s="51" t="s">
        <v>159</v>
      </c>
      <c r="G45" s="56" t="s">
        <v>158</v>
      </c>
      <c r="H45" s="302" t="s">
        <v>1155</v>
      </c>
      <c r="I45" s="42">
        <v>1393864</v>
      </c>
      <c r="J45" s="368" t="s">
        <v>149</v>
      </c>
      <c r="K45" s="546">
        <v>0.9</v>
      </c>
      <c r="L45" s="173">
        <f>35820-28879</f>
        <v>6941</v>
      </c>
      <c r="M45" s="170"/>
      <c r="N45" s="170"/>
      <c r="O45" s="171">
        <f t="shared" si="0"/>
        <v>6941</v>
      </c>
      <c r="P45" s="173">
        <f>35820-28879</f>
        <v>6941</v>
      </c>
      <c r="Q45" s="170"/>
      <c r="R45" s="170"/>
      <c r="S45" s="171">
        <f t="shared" si="1"/>
        <v>6941</v>
      </c>
      <c r="T45" s="173">
        <f t="shared" si="2"/>
        <v>13882</v>
      </c>
      <c r="U45" s="170"/>
      <c r="V45" s="170"/>
      <c r="W45" s="171">
        <f t="shared" si="3"/>
        <v>13882</v>
      </c>
    </row>
    <row r="46" spans="1:23" ht="29.25">
      <c r="A46" s="234" t="s">
        <v>7</v>
      </c>
      <c r="B46" s="56" t="s">
        <v>8</v>
      </c>
      <c r="C46" s="56" t="s">
        <v>315</v>
      </c>
      <c r="D46" s="51"/>
      <c r="E46" s="51"/>
      <c r="F46" s="51" t="s">
        <v>159</v>
      </c>
      <c r="G46" s="56" t="s">
        <v>158</v>
      </c>
      <c r="H46" s="302" t="s">
        <v>1090</v>
      </c>
      <c r="I46" s="42">
        <v>1399808</v>
      </c>
      <c r="J46" s="368" t="s">
        <v>149</v>
      </c>
      <c r="K46" s="546">
        <v>1</v>
      </c>
      <c r="L46" s="173">
        <f>24127-18841</f>
        <v>5286</v>
      </c>
      <c r="M46" s="170"/>
      <c r="N46" s="170"/>
      <c r="O46" s="171">
        <f t="shared" si="0"/>
        <v>5286</v>
      </c>
      <c r="P46" s="173">
        <f>24127-18841</f>
        <v>5286</v>
      </c>
      <c r="Q46" s="170"/>
      <c r="R46" s="170"/>
      <c r="S46" s="171">
        <f t="shared" si="1"/>
        <v>5286</v>
      </c>
      <c r="T46" s="173">
        <f t="shared" si="2"/>
        <v>10572</v>
      </c>
      <c r="U46" s="170"/>
      <c r="V46" s="170"/>
      <c r="W46" s="171">
        <f t="shared" si="3"/>
        <v>10572</v>
      </c>
    </row>
    <row r="47" spans="1:23" ht="29.25">
      <c r="A47" s="234" t="s">
        <v>7</v>
      </c>
      <c r="B47" s="56" t="s">
        <v>8</v>
      </c>
      <c r="C47" s="56" t="s">
        <v>346</v>
      </c>
      <c r="D47" s="51"/>
      <c r="E47" s="51"/>
      <c r="F47" s="51" t="s">
        <v>159</v>
      </c>
      <c r="G47" s="56" t="s">
        <v>158</v>
      </c>
      <c r="H47" s="302" t="s">
        <v>1147</v>
      </c>
      <c r="I47" s="42">
        <v>83426143</v>
      </c>
      <c r="J47" s="368" t="s">
        <v>149</v>
      </c>
      <c r="K47" s="546">
        <v>1</v>
      </c>
      <c r="L47" s="173">
        <f>21154-16383</f>
        <v>4771</v>
      </c>
      <c r="M47" s="170"/>
      <c r="N47" s="170"/>
      <c r="O47" s="171">
        <f t="shared" si="0"/>
        <v>4771</v>
      </c>
      <c r="P47" s="173">
        <f>21154-16383</f>
        <v>4771</v>
      </c>
      <c r="Q47" s="170"/>
      <c r="R47" s="170"/>
      <c r="S47" s="171">
        <f t="shared" si="1"/>
        <v>4771</v>
      </c>
      <c r="T47" s="173">
        <f t="shared" si="2"/>
        <v>9542</v>
      </c>
      <c r="U47" s="170"/>
      <c r="V47" s="170"/>
      <c r="W47" s="171">
        <f t="shared" si="3"/>
        <v>9542</v>
      </c>
    </row>
    <row r="48" spans="1:23" ht="29.25">
      <c r="A48" s="234" t="s">
        <v>7</v>
      </c>
      <c r="B48" s="56" t="s">
        <v>8</v>
      </c>
      <c r="C48" s="56" t="s">
        <v>348</v>
      </c>
      <c r="D48" s="56" t="s">
        <v>194</v>
      </c>
      <c r="E48" s="51"/>
      <c r="F48" s="51" t="s">
        <v>159</v>
      </c>
      <c r="G48" s="56" t="s">
        <v>158</v>
      </c>
      <c r="H48" s="302" t="s">
        <v>1153</v>
      </c>
      <c r="I48" s="42">
        <v>83426462</v>
      </c>
      <c r="J48" s="368" t="s">
        <v>149</v>
      </c>
      <c r="K48" s="546">
        <v>1.5</v>
      </c>
      <c r="L48" s="173">
        <f>27978-22400</f>
        <v>5578</v>
      </c>
      <c r="M48" s="170"/>
      <c r="N48" s="170"/>
      <c r="O48" s="171">
        <f t="shared" si="0"/>
        <v>5578</v>
      </c>
      <c r="P48" s="173">
        <f>27978-22400</f>
        <v>5578</v>
      </c>
      <c r="Q48" s="170"/>
      <c r="R48" s="170"/>
      <c r="S48" s="171">
        <f t="shared" si="1"/>
        <v>5578</v>
      </c>
      <c r="T48" s="173">
        <f t="shared" si="2"/>
        <v>11156</v>
      </c>
      <c r="U48" s="170"/>
      <c r="V48" s="170"/>
      <c r="W48" s="171">
        <f t="shared" si="3"/>
        <v>11156</v>
      </c>
    </row>
    <row r="49" spans="1:23" ht="29.25">
      <c r="A49" s="234" t="s">
        <v>7</v>
      </c>
      <c r="B49" s="56" t="s">
        <v>8</v>
      </c>
      <c r="C49" s="56" t="s">
        <v>318</v>
      </c>
      <c r="D49" s="51"/>
      <c r="E49" s="51">
        <v>2</v>
      </c>
      <c r="F49" s="51" t="s">
        <v>159</v>
      </c>
      <c r="G49" s="56" t="s">
        <v>158</v>
      </c>
      <c r="H49" s="302" t="s">
        <v>1096</v>
      </c>
      <c r="I49" s="42">
        <v>90695801</v>
      </c>
      <c r="J49" s="368" t="s">
        <v>149</v>
      </c>
      <c r="K49" s="546">
        <v>6.6</v>
      </c>
      <c r="L49" s="173">
        <f>73544-56327</f>
        <v>17217</v>
      </c>
      <c r="M49" s="170"/>
      <c r="N49" s="170"/>
      <c r="O49" s="171">
        <f t="shared" si="0"/>
        <v>17217</v>
      </c>
      <c r="P49" s="173">
        <f>73544-56327</f>
        <v>17217</v>
      </c>
      <c r="Q49" s="170"/>
      <c r="R49" s="170"/>
      <c r="S49" s="171">
        <f t="shared" si="1"/>
        <v>17217</v>
      </c>
      <c r="T49" s="173">
        <f t="shared" si="2"/>
        <v>34434</v>
      </c>
      <c r="U49" s="170"/>
      <c r="V49" s="170"/>
      <c r="W49" s="171">
        <f t="shared" si="3"/>
        <v>34434</v>
      </c>
    </row>
    <row r="50" spans="1:23" ht="29.25">
      <c r="A50" s="234" t="s">
        <v>7</v>
      </c>
      <c r="B50" s="56" t="s">
        <v>8</v>
      </c>
      <c r="C50" s="56" t="s">
        <v>318</v>
      </c>
      <c r="D50" s="51"/>
      <c r="E50" s="51"/>
      <c r="F50" s="51" t="s">
        <v>159</v>
      </c>
      <c r="G50" s="56" t="s">
        <v>158</v>
      </c>
      <c r="H50" s="302" t="s">
        <v>1097</v>
      </c>
      <c r="I50" s="42">
        <v>90695793</v>
      </c>
      <c r="J50" s="368" t="s">
        <v>149</v>
      </c>
      <c r="K50" s="546">
        <v>6.6</v>
      </c>
      <c r="L50" s="173">
        <f>41566-31423</f>
        <v>10143</v>
      </c>
      <c r="M50" s="170"/>
      <c r="N50" s="170"/>
      <c r="O50" s="171">
        <f t="shared" si="0"/>
        <v>10143</v>
      </c>
      <c r="P50" s="173">
        <f>41566-31423</f>
        <v>10143</v>
      </c>
      <c r="Q50" s="170"/>
      <c r="R50" s="170"/>
      <c r="S50" s="171">
        <f t="shared" si="1"/>
        <v>10143</v>
      </c>
      <c r="T50" s="173">
        <f t="shared" si="2"/>
        <v>20286</v>
      </c>
      <c r="U50" s="170"/>
      <c r="V50" s="170"/>
      <c r="W50" s="171">
        <f t="shared" si="3"/>
        <v>20286</v>
      </c>
    </row>
    <row r="51" spans="1:23" ht="29.25">
      <c r="A51" s="234" t="s">
        <v>7</v>
      </c>
      <c r="B51" s="56" t="s">
        <v>8</v>
      </c>
      <c r="C51" s="56" t="s">
        <v>318</v>
      </c>
      <c r="D51" s="56" t="s">
        <v>76</v>
      </c>
      <c r="E51" s="51"/>
      <c r="F51" s="51" t="s">
        <v>159</v>
      </c>
      <c r="G51" s="56" t="s">
        <v>158</v>
      </c>
      <c r="H51" s="302" t="s">
        <v>1098</v>
      </c>
      <c r="I51" s="42">
        <v>1404280</v>
      </c>
      <c r="J51" s="368" t="s">
        <v>149</v>
      </c>
      <c r="K51" s="546">
        <v>1</v>
      </c>
      <c r="L51" s="173">
        <f>18322-15294</f>
        <v>3028</v>
      </c>
      <c r="M51" s="170"/>
      <c r="N51" s="170"/>
      <c r="O51" s="171">
        <f t="shared" si="0"/>
        <v>3028</v>
      </c>
      <c r="P51" s="173">
        <f>18322-15294</f>
        <v>3028</v>
      </c>
      <c r="Q51" s="170"/>
      <c r="R51" s="170"/>
      <c r="S51" s="171">
        <f t="shared" si="1"/>
        <v>3028</v>
      </c>
      <c r="T51" s="173">
        <f t="shared" si="2"/>
        <v>6056</v>
      </c>
      <c r="U51" s="170"/>
      <c r="V51" s="170"/>
      <c r="W51" s="171">
        <f t="shared" si="3"/>
        <v>6056</v>
      </c>
    </row>
    <row r="52" spans="1:23" ht="29.25">
      <c r="A52" s="234" t="s">
        <v>7</v>
      </c>
      <c r="B52" s="56" t="s">
        <v>8</v>
      </c>
      <c r="C52" s="56" t="s">
        <v>335</v>
      </c>
      <c r="D52" s="51"/>
      <c r="E52" s="56" t="s">
        <v>341</v>
      </c>
      <c r="F52" s="51" t="s">
        <v>159</v>
      </c>
      <c r="G52" s="56" t="s">
        <v>158</v>
      </c>
      <c r="H52" s="302" t="s">
        <v>1137</v>
      </c>
      <c r="I52" s="42">
        <v>1387578</v>
      </c>
      <c r="J52" s="368" t="s">
        <v>149</v>
      </c>
      <c r="K52" s="546">
        <v>1.3</v>
      </c>
      <c r="L52" s="173">
        <f>34264-26708</f>
        <v>7556</v>
      </c>
      <c r="M52" s="170"/>
      <c r="N52" s="170"/>
      <c r="O52" s="171">
        <f t="shared" si="0"/>
        <v>7556</v>
      </c>
      <c r="P52" s="173">
        <f>34264-26708</f>
        <v>7556</v>
      </c>
      <c r="Q52" s="170"/>
      <c r="R52" s="170"/>
      <c r="S52" s="171">
        <f t="shared" si="1"/>
        <v>7556</v>
      </c>
      <c r="T52" s="173">
        <f t="shared" si="2"/>
        <v>15112</v>
      </c>
      <c r="U52" s="170"/>
      <c r="V52" s="170"/>
      <c r="W52" s="171">
        <f t="shared" si="3"/>
        <v>15112</v>
      </c>
    </row>
    <row r="53" spans="1:23" ht="29.25">
      <c r="A53" s="234" t="s">
        <v>7</v>
      </c>
      <c r="B53" s="56" t="s">
        <v>8</v>
      </c>
      <c r="C53" s="56" t="s">
        <v>322</v>
      </c>
      <c r="D53" s="51"/>
      <c r="E53" s="51"/>
      <c r="F53" s="51" t="s">
        <v>159</v>
      </c>
      <c r="G53" s="56" t="s">
        <v>158</v>
      </c>
      <c r="H53" s="302" t="s">
        <v>1110</v>
      </c>
      <c r="I53" s="42">
        <v>1404275</v>
      </c>
      <c r="J53" s="368" t="s">
        <v>149</v>
      </c>
      <c r="K53" s="546">
        <v>1.3</v>
      </c>
      <c r="L53" s="173">
        <f>51566-40875</f>
        <v>10691</v>
      </c>
      <c r="M53" s="170"/>
      <c r="N53" s="170"/>
      <c r="O53" s="171">
        <f t="shared" si="0"/>
        <v>10691</v>
      </c>
      <c r="P53" s="173">
        <f>51566-40875</f>
        <v>10691</v>
      </c>
      <c r="Q53" s="170"/>
      <c r="R53" s="170"/>
      <c r="S53" s="171">
        <f t="shared" si="1"/>
        <v>10691</v>
      </c>
      <c r="T53" s="173">
        <f t="shared" si="2"/>
        <v>21382</v>
      </c>
      <c r="U53" s="170"/>
      <c r="V53" s="170"/>
      <c r="W53" s="171">
        <f t="shared" si="3"/>
        <v>21382</v>
      </c>
    </row>
    <row r="54" spans="1:23" ht="29.25">
      <c r="A54" s="234" t="s">
        <v>7</v>
      </c>
      <c r="B54" s="56" t="s">
        <v>8</v>
      </c>
      <c r="C54" s="56" t="s">
        <v>313</v>
      </c>
      <c r="D54" s="51"/>
      <c r="E54" s="51">
        <v>13</v>
      </c>
      <c r="F54" s="51" t="s">
        <v>159</v>
      </c>
      <c r="G54" s="56" t="s">
        <v>158</v>
      </c>
      <c r="H54" s="302" t="s">
        <v>1084</v>
      </c>
      <c r="I54" s="42">
        <v>83425900</v>
      </c>
      <c r="J54" s="368" t="s">
        <v>149</v>
      </c>
      <c r="K54" s="546">
        <v>2.2</v>
      </c>
      <c r="L54" s="173">
        <f>42120-32620</f>
        <v>9500</v>
      </c>
      <c r="M54" s="170"/>
      <c r="N54" s="170"/>
      <c r="O54" s="171">
        <f t="shared" si="0"/>
        <v>9500</v>
      </c>
      <c r="P54" s="173">
        <f>42120-32620</f>
        <v>9500</v>
      </c>
      <c r="Q54" s="170"/>
      <c r="R54" s="170"/>
      <c r="S54" s="171">
        <f t="shared" si="1"/>
        <v>9500</v>
      </c>
      <c r="T54" s="173">
        <f t="shared" si="2"/>
        <v>19000</v>
      </c>
      <c r="U54" s="170"/>
      <c r="V54" s="170"/>
      <c r="W54" s="171">
        <f t="shared" si="3"/>
        <v>19000</v>
      </c>
    </row>
    <row r="55" spans="1:23" ht="29.25">
      <c r="A55" s="234" t="s">
        <v>7</v>
      </c>
      <c r="B55" s="56" t="s">
        <v>8</v>
      </c>
      <c r="C55" s="56" t="s">
        <v>335</v>
      </c>
      <c r="D55" s="51"/>
      <c r="E55" s="51"/>
      <c r="F55" s="51" t="s">
        <v>159</v>
      </c>
      <c r="G55" s="56" t="s">
        <v>158</v>
      </c>
      <c r="H55" s="302" t="s">
        <v>1133</v>
      </c>
      <c r="I55" s="42">
        <v>1481685</v>
      </c>
      <c r="J55" s="368" t="s">
        <v>149</v>
      </c>
      <c r="K55" s="546">
        <v>1</v>
      </c>
      <c r="L55" s="173">
        <f>90073-72097</f>
        <v>17976</v>
      </c>
      <c r="M55" s="170"/>
      <c r="N55" s="170"/>
      <c r="O55" s="171">
        <f t="shared" si="0"/>
        <v>17976</v>
      </c>
      <c r="P55" s="173">
        <f>90073-72097</f>
        <v>17976</v>
      </c>
      <c r="Q55" s="170"/>
      <c r="R55" s="170"/>
      <c r="S55" s="171">
        <f t="shared" si="1"/>
        <v>17976</v>
      </c>
      <c r="T55" s="173">
        <f t="shared" si="2"/>
        <v>35952</v>
      </c>
      <c r="U55" s="170"/>
      <c r="V55" s="170"/>
      <c r="W55" s="171">
        <f t="shared" si="3"/>
        <v>35952</v>
      </c>
    </row>
    <row r="56" spans="1:23" ht="29.25">
      <c r="A56" s="234" t="s">
        <v>7</v>
      </c>
      <c r="B56" s="56" t="s">
        <v>8</v>
      </c>
      <c r="C56" s="56" t="s">
        <v>304</v>
      </c>
      <c r="D56" s="51"/>
      <c r="E56" s="51"/>
      <c r="F56" s="51" t="s">
        <v>159</v>
      </c>
      <c r="G56" s="56" t="s">
        <v>158</v>
      </c>
      <c r="H56" s="302" t="s">
        <v>1064</v>
      </c>
      <c r="I56" s="42">
        <v>83426416</v>
      </c>
      <c r="J56" s="368" t="s">
        <v>149</v>
      </c>
      <c r="K56" s="546">
        <v>2.5</v>
      </c>
      <c r="L56" s="173">
        <f>27645-20868</f>
        <v>6777</v>
      </c>
      <c r="M56" s="170"/>
      <c r="N56" s="170"/>
      <c r="O56" s="171">
        <f t="shared" si="0"/>
        <v>6777</v>
      </c>
      <c r="P56" s="173">
        <f>27645-20868</f>
        <v>6777</v>
      </c>
      <c r="Q56" s="170"/>
      <c r="R56" s="170"/>
      <c r="S56" s="171">
        <f t="shared" si="1"/>
        <v>6777</v>
      </c>
      <c r="T56" s="173">
        <f t="shared" si="2"/>
        <v>13554</v>
      </c>
      <c r="U56" s="170"/>
      <c r="V56" s="170"/>
      <c r="W56" s="171">
        <f t="shared" si="3"/>
        <v>13554</v>
      </c>
    </row>
    <row r="57" spans="1:23" ht="29.25">
      <c r="A57" s="234" t="s">
        <v>7</v>
      </c>
      <c r="B57" s="56" t="s">
        <v>8</v>
      </c>
      <c r="C57" s="56" t="s">
        <v>323</v>
      </c>
      <c r="D57" s="51"/>
      <c r="E57" s="51"/>
      <c r="F57" s="51" t="s">
        <v>159</v>
      </c>
      <c r="G57" s="56" t="s">
        <v>158</v>
      </c>
      <c r="H57" s="302" t="s">
        <v>1113</v>
      </c>
      <c r="I57" s="42">
        <v>1387589</v>
      </c>
      <c r="J57" s="368" t="s">
        <v>149</v>
      </c>
      <c r="K57" s="546">
        <v>2.5</v>
      </c>
      <c r="L57" s="173">
        <f>79255-63352</f>
        <v>15903</v>
      </c>
      <c r="M57" s="170"/>
      <c r="N57" s="170"/>
      <c r="O57" s="171">
        <f t="shared" si="0"/>
        <v>15903</v>
      </c>
      <c r="P57" s="173">
        <f>79255-63352</f>
        <v>15903</v>
      </c>
      <c r="Q57" s="170"/>
      <c r="R57" s="170"/>
      <c r="S57" s="171">
        <f t="shared" si="1"/>
        <v>15903</v>
      </c>
      <c r="T57" s="173">
        <f t="shared" si="2"/>
        <v>31806</v>
      </c>
      <c r="U57" s="170"/>
      <c r="V57" s="170"/>
      <c r="W57" s="171">
        <f t="shared" si="3"/>
        <v>31806</v>
      </c>
    </row>
    <row r="58" spans="1:23" ht="29.25">
      <c r="A58" s="234" t="s">
        <v>7</v>
      </c>
      <c r="B58" s="56" t="s">
        <v>8</v>
      </c>
      <c r="C58" s="56" t="s">
        <v>311</v>
      </c>
      <c r="D58" s="51"/>
      <c r="E58" s="51"/>
      <c r="F58" s="51" t="s">
        <v>159</v>
      </c>
      <c r="G58" s="56" t="s">
        <v>158</v>
      </c>
      <c r="H58" s="302" t="s">
        <v>1070</v>
      </c>
      <c r="I58" s="42">
        <v>1387593</v>
      </c>
      <c r="J58" s="368" t="s">
        <v>149</v>
      </c>
      <c r="K58" s="546">
        <v>0.6</v>
      </c>
      <c r="L58" s="173">
        <f>15120-12147</f>
        <v>2973</v>
      </c>
      <c r="M58" s="170"/>
      <c r="N58" s="170"/>
      <c r="O58" s="171">
        <f t="shared" si="0"/>
        <v>2973</v>
      </c>
      <c r="P58" s="173">
        <f>15120-12147</f>
        <v>2973</v>
      </c>
      <c r="Q58" s="170"/>
      <c r="R58" s="170"/>
      <c r="S58" s="171">
        <f t="shared" si="1"/>
        <v>2973</v>
      </c>
      <c r="T58" s="173">
        <f t="shared" si="2"/>
        <v>5946</v>
      </c>
      <c r="U58" s="170"/>
      <c r="V58" s="170"/>
      <c r="W58" s="171">
        <f t="shared" si="3"/>
        <v>5946</v>
      </c>
    </row>
    <row r="59" spans="1:23" ht="29.25">
      <c r="A59" s="234" t="s">
        <v>7</v>
      </c>
      <c r="B59" s="56" t="s">
        <v>8</v>
      </c>
      <c r="C59" s="59" t="s">
        <v>299</v>
      </c>
      <c r="D59" s="51"/>
      <c r="E59" s="51"/>
      <c r="F59" s="51" t="s">
        <v>159</v>
      </c>
      <c r="G59" s="56" t="s">
        <v>158</v>
      </c>
      <c r="H59" s="302" t="s">
        <v>1086</v>
      </c>
      <c r="I59" s="42">
        <v>1399799</v>
      </c>
      <c r="J59" s="368" t="s">
        <v>149</v>
      </c>
      <c r="K59" s="546">
        <v>2.2</v>
      </c>
      <c r="L59" s="173">
        <f>20812-16993</f>
        <v>3819</v>
      </c>
      <c r="M59" s="170"/>
      <c r="N59" s="170"/>
      <c r="O59" s="171">
        <f t="shared" si="0"/>
        <v>3819</v>
      </c>
      <c r="P59" s="173">
        <f>20812-16993</f>
        <v>3819</v>
      </c>
      <c r="Q59" s="170"/>
      <c r="R59" s="170"/>
      <c r="S59" s="171">
        <f t="shared" si="1"/>
        <v>3819</v>
      </c>
      <c r="T59" s="173">
        <f t="shared" si="2"/>
        <v>7638</v>
      </c>
      <c r="U59" s="170"/>
      <c r="V59" s="170"/>
      <c r="W59" s="171">
        <f t="shared" si="3"/>
        <v>7638</v>
      </c>
    </row>
    <row r="60" spans="1:23" ht="29.25">
      <c r="A60" s="234" t="s">
        <v>7</v>
      </c>
      <c r="B60" s="56" t="s">
        <v>8</v>
      </c>
      <c r="C60" s="56" t="s">
        <v>294</v>
      </c>
      <c r="D60" s="51"/>
      <c r="E60" s="51">
        <v>29</v>
      </c>
      <c r="F60" s="51" t="s">
        <v>159</v>
      </c>
      <c r="G60" s="56" t="s">
        <v>158</v>
      </c>
      <c r="H60" s="302" t="s">
        <v>1074</v>
      </c>
      <c r="I60" s="42">
        <v>1399796</v>
      </c>
      <c r="J60" s="368" t="s">
        <v>149</v>
      </c>
      <c r="K60" s="546">
        <v>2.2</v>
      </c>
      <c r="L60" s="173">
        <f>49901-40944</f>
        <v>8957</v>
      </c>
      <c r="M60" s="170"/>
      <c r="N60" s="170"/>
      <c r="O60" s="171">
        <f t="shared" si="0"/>
        <v>8957</v>
      </c>
      <c r="P60" s="173">
        <f>49901-40944</f>
        <v>8957</v>
      </c>
      <c r="Q60" s="170"/>
      <c r="R60" s="170"/>
      <c r="S60" s="171">
        <f t="shared" si="1"/>
        <v>8957</v>
      </c>
      <c r="T60" s="173">
        <f t="shared" si="2"/>
        <v>17914</v>
      </c>
      <c r="U60" s="170"/>
      <c r="V60" s="170"/>
      <c r="W60" s="171">
        <f t="shared" si="3"/>
        <v>17914</v>
      </c>
    </row>
    <row r="61" spans="1:23" ht="29.25">
      <c r="A61" s="234" t="s">
        <v>7</v>
      </c>
      <c r="B61" s="56" t="s">
        <v>8</v>
      </c>
      <c r="C61" s="56" t="s">
        <v>355</v>
      </c>
      <c r="D61" s="51"/>
      <c r="E61" s="51"/>
      <c r="F61" s="51" t="s">
        <v>159</v>
      </c>
      <c r="G61" s="56" t="s">
        <v>158</v>
      </c>
      <c r="H61" s="302" t="s">
        <v>1083</v>
      </c>
      <c r="I61" s="42">
        <v>1403588</v>
      </c>
      <c r="J61" s="368" t="s">
        <v>149</v>
      </c>
      <c r="K61" s="546">
        <v>2.2</v>
      </c>
      <c r="L61" s="173">
        <f>36931-30714</f>
        <v>6217</v>
      </c>
      <c r="M61" s="170"/>
      <c r="N61" s="170"/>
      <c r="O61" s="171">
        <f t="shared" si="0"/>
        <v>6217</v>
      </c>
      <c r="P61" s="173">
        <f>36931-30714</f>
        <v>6217</v>
      </c>
      <c r="Q61" s="170"/>
      <c r="R61" s="170"/>
      <c r="S61" s="171">
        <f t="shared" si="1"/>
        <v>6217</v>
      </c>
      <c r="T61" s="173">
        <f t="shared" si="2"/>
        <v>12434</v>
      </c>
      <c r="U61" s="170"/>
      <c r="V61" s="170"/>
      <c r="W61" s="171">
        <f t="shared" si="3"/>
        <v>12434</v>
      </c>
    </row>
    <row r="62" spans="1:23" ht="29.25">
      <c r="A62" s="234" t="s">
        <v>7</v>
      </c>
      <c r="B62" s="56" t="s">
        <v>8</v>
      </c>
      <c r="C62" s="56" t="s">
        <v>294</v>
      </c>
      <c r="D62" s="51"/>
      <c r="E62" s="51"/>
      <c r="F62" s="51" t="s">
        <v>159</v>
      </c>
      <c r="G62" s="56" t="s">
        <v>158</v>
      </c>
      <c r="H62" s="302" t="s">
        <v>1075</v>
      </c>
      <c r="I62" s="42">
        <v>1399798</v>
      </c>
      <c r="J62" s="368" t="s">
        <v>149</v>
      </c>
      <c r="K62" s="546">
        <v>1</v>
      </c>
      <c r="L62" s="173">
        <f>39472-32025</f>
        <v>7447</v>
      </c>
      <c r="M62" s="170"/>
      <c r="N62" s="170"/>
      <c r="O62" s="171">
        <f t="shared" si="0"/>
        <v>7447</v>
      </c>
      <c r="P62" s="173">
        <f>39472-32025</f>
        <v>7447</v>
      </c>
      <c r="Q62" s="170"/>
      <c r="R62" s="170"/>
      <c r="S62" s="171">
        <f t="shared" si="1"/>
        <v>7447</v>
      </c>
      <c r="T62" s="173">
        <f t="shared" si="2"/>
        <v>14894</v>
      </c>
      <c r="U62" s="170"/>
      <c r="V62" s="170"/>
      <c r="W62" s="171">
        <f t="shared" si="3"/>
        <v>14894</v>
      </c>
    </row>
    <row r="63" spans="1:23" ht="29.25">
      <c r="A63" s="234" t="s">
        <v>7</v>
      </c>
      <c r="B63" s="56" t="s">
        <v>8</v>
      </c>
      <c r="C63" s="56" t="s">
        <v>328</v>
      </c>
      <c r="D63" s="56" t="s">
        <v>230</v>
      </c>
      <c r="E63" s="51">
        <v>33</v>
      </c>
      <c r="F63" s="51" t="s">
        <v>159</v>
      </c>
      <c r="G63" s="56" t="s">
        <v>158</v>
      </c>
      <c r="H63" s="302" t="s">
        <v>1121</v>
      </c>
      <c r="I63" s="42">
        <v>1394958</v>
      </c>
      <c r="J63" s="368" t="s">
        <v>149</v>
      </c>
      <c r="K63" s="546">
        <v>2.2</v>
      </c>
      <c r="L63" s="173">
        <f>36558-30745</f>
        <v>5813</v>
      </c>
      <c r="M63" s="170"/>
      <c r="N63" s="170"/>
      <c r="O63" s="171">
        <f t="shared" si="0"/>
        <v>5813</v>
      </c>
      <c r="P63" s="173">
        <f>36558-30745</f>
        <v>5813</v>
      </c>
      <c r="Q63" s="170"/>
      <c r="R63" s="170"/>
      <c r="S63" s="171">
        <f t="shared" si="1"/>
        <v>5813</v>
      </c>
      <c r="T63" s="173">
        <f t="shared" si="2"/>
        <v>11626</v>
      </c>
      <c r="U63" s="170"/>
      <c r="V63" s="170"/>
      <c r="W63" s="171">
        <f t="shared" si="3"/>
        <v>11626</v>
      </c>
    </row>
    <row r="64" spans="1:23" ht="29.25">
      <c r="A64" s="234" t="s">
        <v>7</v>
      </c>
      <c r="B64" s="56" t="s">
        <v>8</v>
      </c>
      <c r="C64" s="56" t="s">
        <v>304</v>
      </c>
      <c r="D64" s="51"/>
      <c r="E64" s="51"/>
      <c r="F64" s="51" t="s">
        <v>159</v>
      </c>
      <c r="G64" s="56" t="s">
        <v>158</v>
      </c>
      <c r="H64" s="302" t="s">
        <v>1067</v>
      </c>
      <c r="I64" s="42">
        <v>1501024</v>
      </c>
      <c r="J64" s="368" t="s">
        <v>149</v>
      </c>
      <c r="K64" s="546">
        <v>6.6</v>
      </c>
      <c r="L64" s="173">
        <f>62086-48111</f>
        <v>13975</v>
      </c>
      <c r="M64" s="170"/>
      <c r="N64" s="170"/>
      <c r="O64" s="171">
        <f t="shared" si="0"/>
        <v>13975</v>
      </c>
      <c r="P64" s="173">
        <f>62086-48111</f>
        <v>13975</v>
      </c>
      <c r="Q64" s="170"/>
      <c r="R64" s="170"/>
      <c r="S64" s="171">
        <f t="shared" si="1"/>
        <v>13975</v>
      </c>
      <c r="T64" s="173">
        <f t="shared" si="2"/>
        <v>27950</v>
      </c>
      <c r="U64" s="170"/>
      <c r="V64" s="170"/>
      <c r="W64" s="171">
        <f t="shared" si="3"/>
        <v>27950</v>
      </c>
    </row>
    <row r="65" spans="1:23" ht="29.25">
      <c r="A65" s="234" t="s">
        <v>7</v>
      </c>
      <c r="B65" s="56" t="s">
        <v>8</v>
      </c>
      <c r="C65" s="56" t="s">
        <v>342</v>
      </c>
      <c r="D65" s="51"/>
      <c r="E65" s="51"/>
      <c r="F65" s="51" t="s">
        <v>159</v>
      </c>
      <c r="G65" s="56" t="s">
        <v>158</v>
      </c>
      <c r="H65" s="302" t="s">
        <v>1142</v>
      </c>
      <c r="I65" s="42">
        <v>1494941</v>
      </c>
      <c r="J65" s="368" t="s">
        <v>149</v>
      </c>
      <c r="K65" s="242">
        <v>0.3</v>
      </c>
      <c r="L65" s="173">
        <f>8066-5356</f>
        <v>2710</v>
      </c>
      <c r="M65" s="170"/>
      <c r="N65" s="170"/>
      <c r="O65" s="171">
        <f t="shared" si="0"/>
        <v>2710</v>
      </c>
      <c r="P65" s="173">
        <f>8066-5356</f>
        <v>2710</v>
      </c>
      <c r="Q65" s="170"/>
      <c r="R65" s="170"/>
      <c r="S65" s="171">
        <f t="shared" si="1"/>
        <v>2710</v>
      </c>
      <c r="T65" s="173">
        <f t="shared" si="2"/>
        <v>5420</v>
      </c>
      <c r="U65" s="170"/>
      <c r="V65" s="170"/>
      <c r="W65" s="171">
        <f t="shared" si="3"/>
        <v>5420</v>
      </c>
    </row>
    <row r="66" spans="1:23" ht="29.25">
      <c r="A66" s="234" t="s">
        <v>7</v>
      </c>
      <c r="B66" s="56" t="s">
        <v>8</v>
      </c>
      <c r="C66" s="56" t="s">
        <v>311</v>
      </c>
      <c r="D66" s="51"/>
      <c r="E66" s="51">
        <v>8</v>
      </c>
      <c r="F66" s="51" t="s">
        <v>159</v>
      </c>
      <c r="G66" s="56" t="s">
        <v>158</v>
      </c>
      <c r="H66" s="302" t="s">
        <v>1071</v>
      </c>
      <c r="I66" s="42">
        <v>1403577</v>
      </c>
      <c r="J66" s="368" t="s">
        <v>149</v>
      </c>
      <c r="K66" s="546">
        <v>2.2</v>
      </c>
      <c r="L66" s="173">
        <f>30419-25772</f>
        <v>4647</v>
      </c>
      <c r="M66" s="170"/>
      <c r="N66" s="170"/>
      <c r="O66" s="171">
        <f t="shared" si="0"/>
        <v>4647</v>
      </c>
      <c r="P66" s="173">
        <f>30419-25772</f>
        <v>4647</v>
      </c>
      <c r="Q66" s="170"/>
      <c r="R66" s="170"/>
      <c r="S66" s="171">
        <f t="shared" si="1"/>
        <v>4647</v>
      </c>
      <c r="T66" s="173">
        <f t="shared" si="2"/>
        <v>9294</v>
      </c>
      <c r="U66" s="170"/>
      <c r="V66" s="170"/>
      <c r="W66" s="171">
        <f t="shared" si="3"/>
        <v>9294</v>
      </c>
    </row>
    <row r="67" spans="1:23" ht="29.25">
      <c r="A67" s="234" t="s">
        <v>7</v>
      </c>
      <c r="B67" s="56" t="s">
        <v>8</v>
      </c>
      <c r="C67" s="56" t="s">
        <v>301</v>
      </c>
      <c r="D67" s="51"/>
      <c r="E67" s="51">
        <v>32</v>
      </c>
      <c r="F67" s="51" t="s">
        <v>159</v>
      </c>
      <c r="G67" s="56" t="s">
        <v>158</v>
      </c>
      <c r="H67" s="302" t="s">
        <v>1059</v>
      </c>
      <c r="I67" s="42">
        <v>83426573</v>
      </c>
      <c r="J67" s="368" t="s">
        <v>149</v>
      </c>
      <c r="K67" s="546">
        <v>2.2</v>
      </c>
      <c r="L67" s="173">
        <f>32236-24129</f>
        <v>8107</v>
      </c>
      <c r="M67" s="170"/>
      <c r="N67" s="170"/>
      <c r="O67" s="171">
        <f t="shared" si="0"/>
        <v>8107</v>
      </c>
      <c r="P67" s="173">
        <f>32236-24129</f>
        <v>8107</v>
      </c>
      <c r="Q67" s="170"/>
      <c r="R67" s="170"/>
      <c r="S67" s="171">
        <f t="shared" si="1"/>
        <v>8107</v>
      </c>
      <c r="T67" s="173">
        <f t="shared" si="2"/>
        <v>16214</v>
      </c>
      <c r="U67" s="170"/>
      <c r="V67" s="170"/>
      <c r="W67" s="171">
        <f t="shared" si="3"/>
        <v>16214</v>
      </c>
    </row>
    <row r="68" spans="1:23" ht="29.25">
      <c r="A68" s="234" t="s">
        <v>7</v>
      </c>
      <c r="B68" s="56" t="s">
        <v>8</v>
      </c>
      <c r="C68" s="56" t="s">
        <v>312</v>
      </c>
      <c r="D68" s="51"/>
      <c r="E68" s="51">
        <v>34</v>
      </c>
      <c r="F68" s="51" t="s">
        <v>159</v>
      </c>
      <c r="G68" s="56" t="s">
        <v>158</v>
      </c>
      <c r="H68" s="302" t="s">
        <v>1085</v>
      </c>
      <c r="I68" s="42">
        <v>90695884</v>
      </c>
      <c r="J68" s="368" t="s">
        <v>149</v>
      </c>
      <c r="K68" s="546">
        <v>6.6</v>
      </c>
      <c r="L68" s="173">
        <f>44567-33326</f>
        <v>11241</v>
      </c>
      <c r="M68" s="170"/>
      <c r="N68" s="170"/>
      <c r="O68" s="171">
        <f t="shared" si="0"/>
        <v>11241</v>
      </c>
      <c r="P68" s="173">
        <f>44567-33326</f>
        <v>11241</v>
      </c>
      <c r="Q68" s="170"/>
      <c r="R68" s="170"/>
      <c r="S68" s="171">
        <f t="shared" si="1"/>
        <v>11241</v>
      </c>
      <c r="T68" s="173">
        <f t="shared" si="2"/>
        <v>22482</v>
      </c>
      <c r="U68" s="170"/>
      <c r="V68" s="170"/>
      <c r="W68" s="171">
        <f t="shared" si="3"/>
        <v>22482</v>
      </c>
    </row>
    <row r="69" spans="1:23" ht="29.25">
      <c r="A69" s="234" t="s">
        <v>7</v>
      </c>
      <c r="B69" s="56" t="s">
        <v>8</v>
      </c>
      <c r="C69" s="56" t="s">
        <v>338</v>
      </c>
      <c r="D69" s="51"/>
      <c r="E69" s="51"/>
      <c r="F69" s="51" t="s">
        <v>159</v>
      </c>
      <c r="G69" s="56" t="s">
        <v>158</v>
      </c>
      <c r="H69" s="302" t="s">
        <v>1130</v>
      </c>
      <c r="I69" s="42">
        <v>1395739</v>
      </c>
      <c r="J69" s="368" t="s">
        <v>149</v>
      </c>
      <c r="K69" s="546">
        <v>0.9</v>
      </c>
      <c r="L69" s="173">
        <f>29875-23387</f>
        <v>6488</v>
      </c>
      <c r="M69" s="170"/>
      <c r="N69" s="170"/>
      <c r="O69" s="171">
        <f t="shared" si="0"/>
        <v>6488</v>
      </c>
      <c r="P69" s="173">
        <f>29875-23387</f>
        <v>6488</v>
      </c>
      <c r="Q69" s="170"/>
      <c r="R69" s="170"/>
      <c r="S69" s="171">
        <f t="shared" si="1"/>
        <v>6488</v>
      </c>
      <c r="T69" s="173">
        <f t="shared" si="2"/>
        <v>12976</v>
      </c>
      <c r="U69" s="170"/>
      <c r="V69" s="170"/>
      <c r="W69" s="171">
        <f t="shared" si="3"/>
        <v>12976</v>
      </c>
    </row>
    <row r="70" spans="1:23" ht="29.25">
      <c r="A70" s="234" t="s">
        <v>7</v>
      </c>
      <c r="B70" s="56" t="s">
        <v>8</v>
      </c>
      <c r="C70" s="56" t="s">
        <v>329</v>
      </c>
      <c r="D70" s="56" t="s">
        <v>326</v>
      </c>
      <c r="E70" s="51"/>
      <c r="F70" s="51" t="s">
        <v>159</v>
      </c>
      <c r="G70" s="56" t="s">
        <v>158</v>
      </c>
      <c r="H70" s="302" t="s">
        <v>1128</v>
      </c>
      <c r="I70" s="42">
        <v>1387581</v>
      </c>
      <c r="J70" s="368" t="s">
        <v>149</v>
      </c>
      <c r="K70" s="546">
        <v>2.2</v>
      </c>
      <c r="L70" s="173">
        <f>30288-24404</f>
        <v>5884</v>
      </c>
      <c r="M70" s="170"/>
      <c r="N70" s="170"/>
      <c r="O70" s="171">
        <f t="shared" si="0"/>
        <v>5884</v>
      </c>
      <c r="P70" s="173">
        <f>30288-24404</f>
        <v>5884</v>
      </c>
      <c r="Q70" s="170"/>
      <c r="R70" s="170"/>
      <c r="S70" s="171">
        <f t="shared" si="1"/>
        <v>5884</v>
      </c>
      <c r="T70" s="173">
        <f t="shared" si="2"/>
        <v>11768</v>
      </c>
      <c r="U70" s="170"/>
      <c r="V70" s="170"/>
      <c r="W70" s="171">
        <f t="shared" si="3"/>
        <v>11768</v>
      </c>
    </row>
    <row r="71" spans="1:23" ht="29.25">
      <c r="A71" s="234" t="s">
        <v>7</v>
      </c>
      <c r="B71" s="56" t="s">
        <v>8</v>
      </c>
      <c r="C71" s="56" t="s">
        <v>329</v>
      </c>
      <c r="D71" s="56" t="s">
        <v>337</v>
      </c>
      <c r="E71" s="51"/>
      <c r="F71" s="51" t="s">
        <v>159</v>
      </c>
      <c r="G71" s="56" t="s">
        <v>158</v>
      </c>
      <c r="H71" s="302" t="s">
        <v>1127</v>
      </c>
      <c r="I71" s="42">
        <v>1394966</v>
      </c>
      <c r="J71" s="368" t="s">
        <v>149</v>
      </c>
      <c r="K71" s="546">
        <v>1.3</v>
      </c>
      <c r="L71" s="173">
        <f>47455-38578</f>
        <v>8877</v>
      </c>
      <c r="M71" s="170"/>
      <c r="N71" s="170"/>
      <c r="O71" s="171">
        <f t="shared" si="0"/>
        <v>8877</v>
      </c>
      <c r="P71" s="173">
        <f>47455-38578</f>
        <v>8877</v>
      </c>
      <c r="Q71" s="170"/>
      <c r="R71" s="170"/>
      <c r="S71" s="171">
        <f t="shared" si="1"/>
        <v>8877</v>
      </c>
      <c r="T71" s="173">
        <f t="shared" si="2"/>
        <v>17754</v>
      </c>
      <c r="U71" s="170"/>
      <c r="V71" s="170"/>
      <c r="W71" s="171">
        <f t="shared" si="3"/>
        <v>17754</v>
      </c>
    </row>
    <row r="72" spans="1:23" ht="29.25">
      <c r="A72" s="234" t="s">
        <v>7</v>
      </c>
      <c r="B72" s="56" t="s">
        <v>8</v>
      </c>
      <c r="C72" s="56" t="s">
        <v>338</v>
      </c>
      <c r="D72" s="51"/>
      <c r="E72" s="51">
        <v>6</v>
      </c>
      <c r="F72" s="51" t="s">
        <v>159</v>
      </c>
      <c r="G72" s="56" t="s">
        <v>158</v>
      </c>
      <c r="H72" s="302" t="s">
        <v>1144</v>
      </c>
      <c r="I72" s="42">
        <v>1404291</v>
      </c>
      <c r="J72" s="368" t="s">
        <v>149</v>
      </c>
      <c r="K72" s="546">
        <v>1.8</v>
      </c>
      <c r="L72" s="173">
        <f>26421-21755</f>
        <v>4666</v>
      </c>
      <c r="M72" s="170"/>
      <c r="N72" s="170"/>
      <c r="O72" s="171">
        <f t="shared" si="0"/>
        <v>4666</v>
      </c>
      <c r="P72" s="173">
        <f>26421-21755</f>
        <v>4666</v>
      </c>
      <c r="Q72" s="170"/>
      <c r="R72" s="170"/>
      <c r="S72" s="171">
        <f t="shared" si="1"/>
        <v>4666</v>
      </c>
      <c r="T72" s="173">
        <f t="shared" si="2"/>
        <v>9332</v>
      </c>
      <c r="U72" s="170"/>
      <c r="V72" s="170"/>
      <c r="W72" s="171">
        <f t="shared" si="3"/>
        <v>9332</v>
      </c>
    </row>
    <row r="73" spans="1:23" ht="29.25">
      <c r="A73" s="234" t="s">
        <v>7</v>
      </c>
      <c r="B73" s="56" t="s">
        <v>8</v>
      </c>
      <c r="C73" s="56" t="s">
        <v>344</v>
      </c>
      <c r="D73" s="56" t="s">
        <v>112</v>
      </c>
      <c r="E73" s="51">
        <v>12</v>
      </c>
      <c r="F73" s="51" t="s">
        <v>159</v>
      </c>
      <c r="G73" s="56" t="s">
        <v>158</v>
      </c>
      <c r="H73" s="302" t="s">
        <v>1143</v>
      </c>
      <c r="I73" s="42">
        <v>1404290</v>
      </c>
      <c r="J73" s="368" t="s">
        <v>149</v>
      </c>
      <c r="K73" s="546">
        <v>2.5</v>
      </c>
      <c r="L73" s="173">
        <f>113350-93651</f>
        <v>19699</v>
      </c>
      <c r="M73" s="170"/>
      <c r="N73" s="170"/>
      <c r="O73" s="171">
        <f t="shared" si="0"/>
        <v>19699</v>
      </c>
      <c r="P73" s="173">
        <f>113350-93651</f>
        <v>19699</v>
      </c>
      <c r="Q73" s="170"/>
      <c r="R73" s="170"/>
      <c r="S73" s="171">
        <f t="shared" si="1"/>
        <v>19699</v>
      </c>
      <c r="T73" s="173">
        <f t="shared" si="2"/>
        <v>39398</v>
      </c>
      <c r="U73" s="170"/>
      <c r="V73" s="170"/>
      <c r="W73" s="171">
        <f t="shared" si="3"/>
        <v>39398</v>
      </c>
    </row>
    <row r="74" spans="1:23" ht="29.25">
      <c r="A74" s="234" t="s">
        <v>7</v>
      </c>
      <c r="B74" s="56" t="s">
        <v>8</v>
      </c>
      <c r="C74" s="56" t="s">
        <v>293</v>
      </c>
      <c r="D74" s="51"/>
      <c r="E74" s="51"/>
      <c r="F74" s="51" t="s">
        <v>159</v>
      </c>
      <c r="G74" s="56" t="s">
        <v>158</v>
      </c>
      <c r="H74" s="302" t="s">
        <v>1161</v>
      </c>
      <c r="I74" s="42">
        <v>1499919</v>
      </c>
      <c r="J74" s="368" t="s">
        <v>149</v>
      </c>
      <c r="K74" s="546">
        <v>1.4</v>
      </c>
      <c r="L74" s="173">
        <f>34432-27739</f>
        <v>6693</v>
      </c>
      <c r="M74" s="170"/>
      <c r="N74" s="170"/>
      <c r="O74" s="171">
        <f t="shared" si="0"/>
        <v>6693</v>
      </c>
      <c r="P74" s="173">
        <f>34432-27739</f>
        <v>6693</v>
      </c>
      <c r="Q74" s="170"/>
      <c r="R74" s="170"/>
      <c r="S74" s="171">
        <f t="shared" si="1"/>
        <v>6693</v>
      </c>
      <c r="T74" s="173">
        <f t="shared" si="2"/>
        <v>13386</v>
      </c>
      <c r="U74" s="170"/>
      <c r="V74" s="170"/>
      <c r="W74" s="171">
        <f t="shared" si="3"/>
        <v>13386</v>
      </c>
    </row>
    <row r="75" spans="1:23" ht="29.25">
      <c r="A75" s="234" t="s">
        <v>7</v>
      </c>
      <c r="B75" s="56" t="s">
        <v>8</v>
      </c>
      <c r="C75" s="56" t="s">
        <v>322</v>
      </c>
      <c r="D75" s="51"/>
      <c r="E75" s="51"/>
      <c r="F75" s="51" t="s">
        <v>159</v>
      </c>
      <c r="G75" s="56" t="s">
        <v>158</v>
      </c>
      <c r="H75" s="302" t="s">
        <v>1112</v>
      </c>
      <c r="I75" s="42">
        <v>1399801</v>
      </c>
      <c r="J75" s="368" t="s">
        <v>149</v>
      </c>
      <c r="K75" s="546">
        <v>2.3</v>
      </c>
      <c r="L75" s="173">
        <f>70989-58052</f>
        <v>12937</v>
      </c>
      <c r="M75" s="170"/>
      <c r="N75" s="170"/>
      <c r="O75" s="171">
        <f t="shared" si="0"/>
        <v>12937</v>
      </c>
      <c r="P75" s="173">
        <f>70989-58052</f>
        <v>12937</v>
      </c>
      <c r="Q75" s="170"/>
      <c r="R75" s="170"/>
      <c r="S75" s="171">
        <f t="shared" si="1"/>
        <v>12937</v>
      </c>
      <c r="T75" s="173">
        <f t="shared" si="2"/>
        <v>25874</v>
      </c>
      <c r="U75" s="170"/>
      <c r="V75" s="170"/>
      <c r="W75" s="171">
        <f t="shared" si="3"/>
        <v>25874</v>
      </c>
    </row>
    <row r="76" spans="1:23" ht="29.25">
      <c r="A76" s="234" t="s">
        <v>7</v>
      </c>
      <c r="B76" s="56" t="s">
        <v>8</v>
      </c>
      <c r="C76" s="56" t="s">
        <v>297</v>
      </c>
      <c r="D76" s="51"/>
      <c r="E76" s="51"/>
      <c r="F76" s="51" t="s">
        <v>159</v>
      </c>
      <c r="G76" s="56" t="s">
        <v>158</v>
      </c>
      <c r="H76" s="302" t="s">
        <v>1079</v>
      </c>
      <c r="I76" s="42">
        <v>90695858</v>
      </c>
      <c r="J76" s="368" t="s">
        <v>149</v>
      </c>
      <c r="K76" s="546">
        <v>7</v>
      </c>
      <c r="L76" s="173">
        <f>178078-136885</f>
        <v>41193</v>
      </c>
      <c r="M76" s="170"/>
      <c r="N76" s="170"/>
      <c r="O76" s="171">
        <f t="shared" si="0"/>
        <v>41193</v>
      </c>
      <c r="P76" s="173">
        <f>178078-136885</f>
        <v>41193</v>
      </c>
      <c r="Q76" s="170"/>
      <c r="R76" s="170"/>
      <c r="S76" s="171">
        <f t="shared" si="1"/>
        <v>41193</v>
      </c>
      <c r="T76" s="173">
        <f t="shared" si="2"/>
        <v>82386</v>
      </c>
      <c r="U76" s="170"/>
      <c r="V76" s="170"/>
      <c r="W76" s="171">
        <f t="shared" si="3"/>
        <v>82386</v>
      </c>
    </row>
    <row r="77" spans="1:23" ht="29.25">
      <c r="A77" s="234" t="s">
        <v>7</v>
      </c>
      <c r="B77" s="56" t="s">
        <v>8</v>
      </c>
      <c r="C77" s="56" t="s">
        <v>304</v>
      </c>
      <c r="D77" s="56" t="s">
        <v>54</v>
      </c>
      <c r="E77" s="51"/>
      <c r="F77" s="51" t="s">
        <v>159</v>
      </c>
      <c r="G77" s="56" t="s">
        <v>158</v>
      </c>
      <c r="H77" s="302" t="s">
        <v>1068</v>
      </c>
      <c r="I77" s="42">
        <v>83246705</v>
      </c>
      <c r="J77" s="368" t="s">
        <v>149</v>
      </c>
      <c r="K77" s="546">
        <v>2.2</v>
      </c>
      <c r="L77" s="173">
        <f>10484-7871</f>
        <v>2613</v>
      </c>
      <c r="M77" s="170"/>
      <c r="N77" s="170"/>
      <c r="O77" s="171">
        <f t="shared" si="0"/>
        <v>2613</v>
      </c>
      <c r="P77" s="173">
        <f>10484-7871</f>
        <v>2613</v>
      </c>
      <c r="Q77" s="170"/>
      <c r="R77" s="170"/>
      <c r="S77" s="171">
        <f t="shared" si="1"/>
        <v>2613</v>
      </c>
      <c r="T77" s="173">
        <f t="shared" si="2"/>
        <v>5226</v>
      </c>
      <c r="U77" s="170"/>
      <c r="V77" s="170"/>
      <c r="W77" s="171">
        <f t="shared" si="3"/>
        <v>5226</v>
      </c>
    </row>
    <row r="78" spans="1:23" ht="29.25">
      <c r="A78" s="234" t="s">
        <v>7</v>
      </c>
      <c r="B78" s="56" t="s">
        <v>8</v>
      </c>
      <c r="C78" s="56" t="s">
        <v>297</v>
      </c>
      <c r="D78" s="51"/>
      <c r="E78" s="51">
        <v>2</v>
      </c>
      <c r="F78" s="51" t="s">
        <v>159</v>
      </c>
      <c r="G78" s="56" t="s">
        <v>158</v>
      </c>
      <c r="H78" s="302" t="s">
        <v>1080</v>
      </c>
      <c r="I78" s="42">
        <v>1403590</v>
      </c>
      <c r="J78" s="368" t="s">
        <v>149</v>
      </c>
      <c r="K78" s="546">
        <v>2</v>
      </c>
      <c r="L78" s="173">
        <f>46405-40136</f>
        <v>6269</v>
      </c>
      <c r="M78" s="170"/>
      <c r="N78" s="170"/>
      <c r="O78" s="171">
        <f t="shared" si="0"/>
        <v>6269</v>
      </c>
      <c r="P78" s="173">
        <f>46405-40136</f>
        <v>6269</v>
      </c>
      <c r="Q78" s="170"/>
      <c r="R78" s="170"/>
      <c r="S78" s="171">
        <f t="shared" si="1"/>
        <v>6269</v>
      </c>
      <c r="T78" s="173">
        <f t="shared" si="2"/>
        <v>12538</v>
      </c>
      <c r="U78" s="170"/>
      <c r="V78" s="170"/>
      <c r="W78" s="171">
        <f t="shared" si="3"/>
        <v>12538</v>
      </c>
    </row>
    <row r="79" spans="1:23" ht="29.25">
      <c r="A79" s="234" t="s">
        <v>7</v>
      </c>
      <c r="B79" s="56" t="s">
        <v>8</v>
      </c>
      <c r="C79" s="56" t="s">
        <v>304</v>
      </c>
      <c r="D79" s="56" t="s">
        <v>305</v>
      </c>
      <c r="E79" s="51"/>
      <c r="F79" s="51" t="s">
        <v>159</v>
      </c>
      <c r="G79" s="56" t="s">
        <v>158</v>
      </c>
      <c r="H79" s="302" t="s">
        <v>1062</v>
      </c>
      <c r="I79" s="42">
        <v>83425910</v>
      </c>
      <c r="J79" s="368" t="s">
        <v>149</v>
      </c>
      <c r="K79" s="546">
        <v>2.2</v>
      </c>
      <c r="L79" s="173">
        <f>23726-19636</f>
        <v>4090</v>
      </c>
      <c r="M79" s="170"/>
      <c r="N79" s="170"/>
      <c r="O79" s="171">
        <f t="shared" si="0"/>
        <v>4090</v>
      </c>
      <c r="P79" s="173">
        <f>23726-19636</f>
        <v>4090</v>
      </c>
      <c r="Q79" s="170"/>
      <c r="R79" s="170"/>
      <c r="S79" s="171">
        <f t="shared" si="1"/>
        <v>4090</v>
      </c>
      <c r="T79" s="173">
        <f t="shared" si="2"/>
        <v>8180</v>
      </c>
      <c r="U79" s="170"/>
      <c r="V79" s="170"/>
      <c r="W79" s="171">
        <f t="shared" si="3"/>
        <v>8180</v>
      </c>
    </row>
    <row r="80" spans="1:23" ht="29.25">
      <c r="A80" s="234" t="s">
        <v>7</v>
      </c>
      <c r="B80" s="25" t="s">
        <v>8</v>
      </c>
      <c r="C80" s="25" t="s">
        <v>338</v>
      </c>
      <c r="D80" s="25" t="s">
        <v>1693</v>
      </c>
      <c r="E80" s="25" t="s">
        <v>358</v>
      </c>
      <c r="F80" s="42" t="s">
        <v>159</v>
      </c>
      <c r="G80" s="25" t="s">
        <v>158</v>
      </c>
      <c r="H80" s="302" t="s">
        <v>1162</v>
      </c>
      <c r="I80" s="42">
        <v>1404282</v>
      </c>
      <c r="J80" s="138" t="s">
        <v>149</v>
      </c>
      <c r="K80" s="548">
        <v>0.4</v>
      </c>
      <c r="L80" s="173">
        <f>25762-20561</f>
        <v>5201</v>
      </c>
      <c r="M80" s="170"/>
      <c r="N80" s="170"/>
      <c r="O80" s="171">
        <f t="shared" si="0"/>
        <v>5201</v>
      </c>
      <c r="P80" s="173">
        <f>25762-20561</f>
        <v>5201</v>
      </c>
      <c r="Q80" s="170"/>
      <c r="R80" s="170"/>
      <c r="S80" s="171">
        <f t="shared" si="1"/>
        <v>5201</v>
      </c>
      <c r="T80" s="173">
        <f t="shared" si="2"/>
        <v>10402</v>
      </c>
      <c r="U80" s="170"/>
      <c r="V80" s="170"/>
      <c r="W80" s="171">
        <f t="shared" si="3"/>
        <v>10402</v>
      </c>
    </row>
    <row r="81" spans="1:23" ht="29.25">
      <c r="A81" s="234" t="s">
        <v>7</v>
      </c>
      <c r="B81" s="56" t="s">
        <v>8</v>
      </c>
      <c r="C81" s="56" t="s">
        <v>309</v>
      </c>
      <c r="D81" s="51"/>
      <c r="E81" s="51">
        <v>4</v>
      </c>
      <c r="F81" s="51" t="s">
        <v>159</v>
      </c>
      <c r="G81" s="56" t="s">
        <v>158</v>
      </c>
      <c r="H81" s="302" t="s">
        <v>1073</v>
      </c>
      <c r="I81" s="42">
        <v>83426412</v>
      </c>
      <c r="J81" s="368" t="s">
        <v>149</v>
      </c>
      <c r="K81" s="546">
        <v>0.5</v>
      </c>
      <c r="L81" s="173">
        <f>12754-9986</f>
        <v>2768</v>
      </c>
      <c r="M81" s="170"/>
      <c r="N81" s="170"/>
      <c r="O81" s="171">
        <f t="shared" si="0"/>
        <v>2768</v>
      </c>
      <c r="P81" s="173">
        <f>12754-9986</f>
        <v>2768</v>
      </c>
      <c r="Q81" s="170"/>
      <c r="R81" s="170"/>
      <c r="S81" s="171">
        <f t="shared" si="1"/>
        <v>2768</v>
      </c>
      <c r="T81" s="173">
        <f t="shared" si="2"/>
        <v>5536</v>
      </c>
      <c r="U81" s="170"/>
      <c r="V81" s="170"/>
      <c r="W81" s="171">
        <f t="shared" si="3"/>
        <v>5536</v>
      </c>
    </row>
    <row r="82" spans="1:23" ht="29.25">
      <c r="A82" s="234" t="s">
        <v>7</v>
      </c>
      <c r="B82" s="56" t="s">
        <v>8</v>
      </c>
      <c r="C82" s="56" t="s">
        <v>309</v>
      </c>
      <c r="D82" s="51"/>
      <c r="E82" s="51">
        <v>12</v>
      </c>
      <c r="F82" s="51" t="s">
        <v>159</v>
      </c>
      <c r="G82" s="56" t="s">
        <v>158</v>
      </c>
      <c r="H82" s="302" t="s">
        <v>1697</v>
      </c>
      <c r="I82" s="42">
        <v>1387583</v>
      </c>
      <c r="J82" s="368" t="s">
        <v>149</v>
      </c>
      <c r="K82" s="546">
        <v>2.2</v>
      </c>
      <c r="L82" s="173">
        <f>21694-17639</f>
        <v>4055</v>
      </c>
      <c r="M82" s="170"/>
      <c r="N82" s="170"/>
      <c r="O82" s="171">
        <f t="shared" si="0"/>
        <v>4055</v>
      </c>
      <c r="P82" s="173">
        <f>21694-17639</f>
        <v>4055</v>
      </c>
      <c r="Q82" s="170"/>
      <c r="R82" s="170"/>
      <c r="S82" s="171">
        <f t="shared" si="1"/>
        <v>4055</v>
      </c>
      <c r="T82" s="173">
        <f t="shared" si="2"/>
        <v>8110</v>
      </c>
      <c r="U82" s="170"/>
      <c r="V82" s="170"/>
      <c r="W82" s="171">
        <f t="shared" si="3"/>
        <v>8110</v>
      </c>
    </row>
    <row r="83" spans="1:23" ht="29.25">
      <c r="A83" s="234" t="s">
        <v>7</v>
      </c>
      <c r="B83" s="56" t="s">
        <v>8</v>
      </c>
      <c r="C83" s="56" t="s">
        <v>320</v>
      </c>
      <c r="D83" s="56" t="s">
        <v>134</v>
      </c>
      <c r="E83" s="51"/>
      <c r="F83" s="51" t="s">
        <v>159</v>
      </c>
      <c r="G83" s="56" t="s">
        <v>158</v>
      </c>
      <c r="H83" s="302" t="s">
        <v>1105</v>
      </c>
      <c r="I83" s="42">
        <v>83425933</v>
      </c>
      <c r="J83" s="368" t="s">
        <v>149</v>
      </c>
      <c r="K83" s="242">
        <v>0.7</v>
      </c>
      <c r="L83" s="173">
        <f>17388-13972</f>
        <v>3416</v>
      </c>
      <c r="M83" s="170"/>
      <c r="N83" s="170"/>
      <c r="O83" s="171">
        <f aca="true" t="shared" si="4" ref="O83:O146">L83</f>
        <v>3416</v>
      </c>
      <c r="P83" s="173">
        <f>17388-13972</f>
        <v>3416</v>
      </c>
      <c r="Q83" s="170"/>
      <c r="R83" s="170"/>
      <c r="S83" s="171">
        <f aca="true" t="shared" si="5" ref="S83:S146">P83</f>
        <v>3416</v>
      </c>
      <c r="T83" s="173">
        <f aca="true" t="shared" si="6" ref="T83:T146">O83+S83</f>
        <v>6832</v>
      </c>
      <c r="U83" s="170"/>
      <c r="V83" s="170"/>
      <c r="W83" s="171">
        <f aca="true" t="shared" si="7" ref="W83:W146">T83</f>
        <v>6832</v>
      </c>
    </row>
    <row r="84" spans="1:23" ht="29.25">
      <c r="A84" s="234" t="s">
        <v>7</v>
      </c>
      <c r="B84" s="56" t="s">
        <v>8</v>
      </c>
      <c r="C84" s="56" t="s">
        <v>322</v>
      </c>
      <c r="D84" s="51"/>
      <c r="E84" s="51"/>
      <c r="F84" s="51" t="s">
        <v>159</v>
      </c>
      <c r="G84" s="56" t="s">
        <v>158</v>
      </c>
      <c r="H84" s="302" t="s">
        <v>1116</v>
      </c>
      <c r="I84" s="42">
        <v>1387584</v>
      </c>
      <c r="J84" s="368" t="s">
        <v>149</v>
      </c>
      <c r="K84" s="546">
        <v>0.5</v>
      </c>
      <c r="L84" s="173">
        <f>37599-32331</f>
        <v>5268</v>
      </c>
      <c r="M84" s="170"/>
      <c r="N84" s="170"/>
      <c r="O84" s="171">
        <f t="shared" si="4"/>
        <v>5268</v>
      </c>
      <c r="P84" s="173">
        <f>37599-32331</f>
        <v>5268</v>
      </c>
      <c r="Q84" s="170"/>
      <c r="R84" s="170"/>
      <c r="S84" s="171">
        <f t="shared" si="5"/>
        <v>5268</v>
      </c>
      <c r="T84" s="173">
        <f t="shared" si="6"/>
        <v>10536</v>
      </c>
      <c r="U84" s="170"/>
      <c r="V84" s="170"/>
      <c r="W84" s="171">
        <f t="shared" si="7"/>
        <v>10536</v>
      </c>
    </row>
    <row r="85" spans="1:23" ht="29.25">
      <c r="A85" s="234" t="s">
        <v>7</v>
      </c>
      <c r="B85" s="56" t="s">
        <v>8</v>
      </c>
      <c r="C85" s="56" t="s">
        <v>304</v>
      </c>
      <c r="D85" s="56" t="s">
        <v>308</v>
      </c>
      <c r="E85" s="51"/>
      <c r="F85" s="51" t="s">
        <v>159</v>
      </c>
      <c r="G85" s="56" t="s">
        <v>158</v>
      </c>
      <c r="H85" s="302" t="s">
        <v>1066</v>
      </c>
      <c r="I85" s="42">
        <v>83426574</v>
      </c>
      <c r="J85" s="368" t="s">
        <v>149</v>
      </c>
      <c r="K85" s="546">
        <v>2.2</v>
      </c>
      <c r="L85" s="173">
        <f>8275-5995</f>
        <v>2280</v>
      </c>
      <c r="M85" s="170"/>
      <c r="N85" s="170"/>
      <c r="O85" s="171">
        <f t="shared" si="4"/>
        <v>2280</v>
      </c>
      <c r="P85" s="173">
        <f>8275-5995</f>
        <v>2280</v>
      </c>
      <c r="Q85" s="170"/>
      <c r="R85" s="170"/>
      <c r="S85" s="171">
        <f t="shared" si="5"/>
        <v>2280</v>
      </c>
      <c r="T85" s="173">
        <f t="shared" si="6"/>
        <v>4560</v>
      </c>
      <c r="U85" s="170"/>
      <c r="V85" s="170"/>
      <c r="W85" s="171">
        <f t="shared" si="7"/>
        <v>4560</v>
      </c>
    </row>
    <row r="86" spans="1:23" ht="29.25">
      <c r="A86" s="234" t="s">
        <v>7</v>
      </c>
      <c r="B86" s="56" t="s">
        <v>8</v>
      </c>
      <c r="C86" s="56" t="s">
        <v>335</v>
      </c>
      <c r="D86" s="51"/>
      <c r="E86" s="51"/>
      <c r="F86" s="51" t="s">
        <v>159</v>
      </c>
      <c r="G86" s="56" t="s">
        <v>158</v>
      </c>
      <c r="H86" s="302" t="s">
        <v>1138</v>
      </c>
      <c r="I86" s="42">
        <v>1398829</v>
      </c>
      <c r="J86" s="368" t="s">
        <v>149</v>
      </c>
      <c r="K86" s="546">
        <v>0.7</v>
      </c>
      <c r="L86" s="173">
        <f>59544-47972</f>
        <v>11572</v>
      </c>
      <c r="M86" s="170"/>
      <c r="N86" s="170"/>
      <c r="O86" s="171">
        <f t="shared" si="4"/>
        <v>11572</v>
      </c>
      <c r="P86" s="173">
        <f>59544-47972</f>
        <v>11572</v>
      </c>
      <c r="Q86" s="170"/>
      <c r="R86" s="170"/>
      <c r="S86" s="171">
        <f t="shared" si="5"/>
        <v>11572</v>
      </c>
      <c r="T86" s="173">
        <f t="shared" si="6"/>
        <v>23144</v>
      </c>
      <c r="U86" s="170"/>
      <c r="V86" s="170"/>
      <c r="W86" s="171">
        <f t="shared" si="7"/>
        <v>23144</v>
      </c>
    </row>
    <row r="87" spans="1:23" ht="29.25">
      <c r="A87" s="234" t="s">
        <v>7</v>
      </c>
      <c r="B87" s="56" t="s">
        <v>8</v>
      </c>
      <c r="C87" s="56" t="s">
        <v>320</v>
      </c>
      <c r="D87" s="56" t="s">
        <v>134</v>
      </c>
      <c r="E87" s="51"/>
      <c r="F87" s="51" t="s">
        <v>159</v>
      </c>
      <c r="G87" s="56" t="s">
        <v>158</v>
      </c>
      <c r="H87" s="302" t="s">
        <v>1104</v>
      </c>
      <c r="I87" s="42">
        <v>83425926</v>
      </c>
      <c r="J87" s="368" t="s">
        <v>149</v>
      </c>
      <c r="K87" s="546">
        <v>0.6</v>
      </c>
      <c r="L87" s="173">
        <f>52599-42415</f>
        <v>10184</v>
      </c>
      <c r="M87" s="170"/>
      <c r="N87" s="170"/>
      <c r="O87" s="171">
        <f t="shared" si="4"/>
        <v>10184</v>
      </c>
      <c r="P87" s="173">
        <f>52599-42415</f>
        <v>10184</v>
      </c>
      <c r="Q87" s="170"/>
      <c r="R87" s="170"/>
      <c r="S87" s="171">
        <f t="shared" si="5"/>
        <v>10184</v>
      </c>
      <c r="T87" s="173">
        <f t="shared" si="6"/>
        <v>20368</v>
      </c>
      <c r="U87" s="170"/>
      <c r="V87" s="170"/>
      <c r="W87" s="171">
        <f t="shared" si="7"/>
        <v>20368</v>
      </c>
    </row>
    <row r="88" spans="1:23" ht="29.25">
      <c r="A88" s="234" t="s">
        <v>7</v>
      </c>
      <c r="B88" s="56" t="s">
        <v>8</v>
      </c>
      <c r="C88" s="56" t="s">
        <v>329</v>
      </c>
      <c r="D88" s="56" t="s">
        <v>326</v>
      </c>
      <c r="E88" s="51">
        <v>5</v>
      </c>
      <c r="F88" s="51" t="s">
        <v>159</v>
      </c>
      <c r="G88" s="56" t="s">
        <v>158</v>
      </c>
      <c r="H88" s="302" t="s">
        <v>1126</v>
      </c>
      <c r="I88" s="42">
        <v>1394962</v>
      </c>
      <c r="J88" s="368" t="s">
        <v>149</v>
      </c>
      <c r="K88" s="546">
        <v>1.1</v>
      </c>
      <c r="L88" s="173">
        <f>30311-25098</f>
        <v>5213</v>
      </c>
      <c r="M88" s="170"/>
      <c r="N88" s="170"/>
      <c r="O88" s="171">
        <f t="shared" si="4"/>
        <v>5213</v>
      </c>
      <c r="P88" s="173">
        <f>30311-25098</f>
        <v>5213</v>
      </c>
      <c r="Q88" s="170"/>
      <c r="R88" s="170"/>
      <c r="S88" s="171">
        <f t="shared" si="5"/>
        <v>5213</v>
      </c>
      <c r="T88" s="173">
        <f t="shared" si="6"/>
        <v>10426</v>
      </c>
      <c r="U88" s="170"/>
      <c r="V88" s="170"/>
      <c r="W88" s="171">
        <f t="shared" si="7"/>
        <v>10426</v>
      </c>
    </row>
    <row r="89" spans="1:23" ht="29.25">
      <c r="A89" s="234" t="s">
        <v>7</v>
      </c>
      <c r="B89" s="56" t="s">
        <v>8</v>
      </c>
      <c r="C89" s="56" t="s">
        <v>327</v>
      </c>
      <c r="D89" s="51"/>
      <c r="E89" s="51"/>
      <c r="F89" s="51" t="s">
        <v>159</v>
      </c>
      <c r="G89" s="56" t="s">
        <v>158</v>
      </c>
      <c r="H89" s="302" t="s">
        <v>1120</v>
      </c>
      <c r="I89" s="42">
        <v>1404286</v>
      </c>
      <c r="J89" s="368" t="s">
        <v>149</v>
      </c>
      <c r="K89" s="546">
        <v>0.7</v>
      </c>
      <c r="L89" s="173">
        <f>55688-45414</f>
        <v>10274</v>
      </c>
      <c r="M89" s="170"/>
      <c r="N89" s="170"/>
      <c r="O89" s="171">
        <f t="shared" si="4"/>
        <v>10274</v>
      </c>
      <c r="P89" s="173">
        <f>55688-45414</f>
        <v>10274</v>
      </c>
      <c r="Q89" s="170"/>
      <c r="R89" s="170"/>
      <c r="S89" s="171">
        <f t="shared" si="5"/>
        <v>10274</v>
      </c>
      <c r="T89" s="173">
        <f t="shared" si="6"/>
        <v>20548</v>
      </c>
      <c r="U89" s="170"/>
      <c r="V89" s="170"/>
      <c r="W89" s="171">
        <f t="shared" si="7"/>
        <v>20548</v>
      </c>
    </row>
    <row r="90" spans="1:23" ht="29.25">
      <c r="A90" s="234" t="s">
        <v>7</v>
      </c>
      <c r="B90" s="56" t="s">
        <v>8</v>
      </c>
      <c r="C90" s="56" t="s">
        <v>335</v>
      </c>
      <c r="D90" s="56" t="s">
        <v>336</v>
      </c>
      <c r="E90" s="51"/>
      <c r="F90" s="51" t="s">
        <v>159</v>
      </c>
      <c r="G90" s="56" t="s">
        <v>158</v>
      </c>
      <c r="H90" s="302" t="s">
        <v>1125</v>
      </c>
      <c r="I90" s="42">
        <v>1394968</v>
      </c>
      <c r="J90" s="368" t="s">
        <v>149</v>
      </c>
      <c r="K90" s="546">
        <v>2.2</v>
      </c>
      <c r="L90" s="173">
        <f>22732-18764</f>
        <v>3968</v>
      </c>
      <c r="M90" s="170"/>
      <c r="N90" s="170"/>
      <c r="O90" s="171">
        <f t="shared" si="4"/>
        <v>3968</v>
      </c>
      <c r="P90" s="173">
        <f>22732-18764</f>
        <v>3968</v>
      </c>
      <c r="Q90" s="170"/>
      <c r="R90" s="170"/>
      <c r="S90" s="171">
        <f t="shared" si="5"/>
        <v>3968</v>
      </c>
      <c r="T90" s="173">
        <f t="shared" si="6"/>
        <v>7936</v>
      </c>
      <c r="U90" s="170"/>
      <c r="V90" s="170"/>
      <c r="W90" s="171">
        <f t="shared" si="7"/>
        <v>7936</v>
      </c>
    </row>
    <row r="91" spans="1:23" ht="29.25">
      <c r="A91" s="234" t="s">
        <v>7</v>
      </c>
      <c r="B91" s="56" t="s">
        <v>8</v>
      </c>
      <c r="C91" s="56" t="s">
        <v>322</v>
      </c>
      <c r="D91" s="51"/>
      <c r="E91" s="51"/>
      <c r="F91" s="51" t="s">
        <v>159</v>
      </c>
      <c r="G91" s="56" t="s">
        <v>158</v>
      </c>
      <c r="H91" s="302" t="s">
        <v>1111</v>
      </c>
      <c r="I91" s="42">
        <v>1441885</v>
      </c>
      <c r="J91" s="368" t="s">
        <v>149</v>
      </c>
      <c r="K91" s="546">
        <v>1.8</v>
      </c>
      <c r="L91" s="173">
        <f>51822-42247</f>
        <v>9575</v>
      </c>
      <c r="M91" s="170"/>
      <c r="N91" s="170"/>
      <c r="O91" s="171">
        <f t="shared" si="4"/>
        <v>9575</v>
      </c>
      <c r="P91" s="173">
        <f>51822-42247</f>
        <v>9575</v>
      </c>
      <c r="Q91" s="170"/>
      <c r="R91" s="170"/>
      <c r="S91" s="171">
        <f t="shared" si="5"/>
        <v>9575</v>
      </c>
      <c r="T91" s="173">
        <f t="shared" si="6"/>
        <v>19150</v>
      </c>
      <c r="U91" s="170"/>
      <c r="V91" s="170"/>
      <c r="W91" s="171">
        <f t="shared" si="7"/>
        <v>19150</v>
      </c>
    </row>
    <row r="92" spans="1:23" ht="29.25">
      <c r="A92" s="234" t="s">
        <v>7</v>
      </c>
      <c r="B92" s="56" t="s">
        <v>8</v>
      </c>
      <c r="C92" s="56" t="s">
        <v>304</v>
      </c>
      <c r="D92" s="56" t="s">
        <v>306</v>
      </c>
      <c r="E92" s="51"/>
      <c r="F92" s="51" t="s">
        <v>159</v>
      </c>
      <c r="G92" s="56" t="s">
        <v>158</v>
      </c>
      <c r="H92" s="302" t="s">
        <v>1063</v>
      </c>
      <c r="I92" s="42">
        <v>83426424</v>
      </c>
      <c r="J92" s="368" t="s">
        <v>149</v>
      </c>
      <c r="K92" s="546">
        <v>1</v>
      </c>
      <c r="L92" s="173">
        <f>23285-18680</f>
        <v>4605</v>
      </c>
      <c r="M92" s="170"/>
      <c r="N92" s="170"/>
      <c r="O92" s="171">
        <f t="shared" si="4"/>
        <v>4605</v>
      </c>
      <c r="P92" s="173">
        <f>23285-18680</f>
        <v>4605</v>
      </c>
      <c r="Q92" s="170"/>
      <c r="R92" s="170"/>
      <c r="S92" s="171">
        <f t="shared" si="5"/>
        <v>4605</v>
      </c>
      <c r="T92" s="173">
        <f t="shared" si="6"/>
        <v>9210</v>
      </c>
      <c r="U92" s="170"/>
      <c r="V92" s="170"/>
      <c r="W92" s="171">
        <f t="shared" si="7"/>
        <v>9210</v>
      </c>
    </row>
    <row r="93" spans="1:23" ht="29.25">
      <c r="A93" s="234" t="s">
        <v>7</v>
      </c>
      <c r="B93" s="56" t="s">
        <v>8</v>
      </c>
      <c r="C93" s="56" t="s">
        <v>335</v>
      </c>
      <c r="D93" s="51"/>
      <c r="E93" s="56" t="s">
        <v>340</v>
      </c>
      <c r="F93" s="51" t="s">
        <v>159</v>
      </c>
      <c r="G93" s="56" t="s">
        <v>158</v>
      </c>
      <c r="H93" s="302" t="s">
        <v>1134</v>
      </c>
      <c r="I93" s="42">
        <v>1401617</v>
      </c>
      <c r="J93" s="368" t="s">
        <v>149</v>
      </c>
      <c r="K93" s="546">
        <v>1.4</v>
      </c>
      <c r="L93" s="173">
        <f>34951-28000</f>
        <v>6951</v>
      </c>
      <c r="M93" s="170"/>
      <c r="N93" s="170"/>
      <c r="O93" s="171">
        <f t="shared" si="4"/>
        <v>6951</v>
      </c>
      <c r="P93" s="173">
        <f>34951-28000</f>
        <v>6951</v>
      </c>
      <c r="Q93" s="170"/>
      <c r="R93" s="170"/>
      <c r="S93" s="171">
        <f t="shared" si="5"/>
        <v>6951</v>
      </c>
      <c r="T93" s="173">
        <f t="shared" si="6"/>
        <v>13902</v>
      </c>
      <c r="U93" s="170"/>
      <c r="V93" s="170"/>
      <c r="W93" s="171">
        <f t="shared" si="7"/>
        <v>13902</v>
      </c>
    </row>
    <row r="94" spans="1:23" ht="29.25">
      <c r="A94" s="234" t="s">
        <v>7</v>
      </c>
      <c r="B94" s="56" t="s">
        <v>8</v>
      </c>
      <c r="C94" s="56" t="s">
        <v>300</v>
      </c>
      <c r="D94" s="51"/>
      <c r="E94" s="51"/>
      <c r="F94" s="51" t="s">
        <v>159</v>
      </c>
      <c r="G94" s="56" t="s">
        <v>158</v>
      </c>
      <c r="H94" s="302" t="s">
        <v>1093</v>
      </c>
      <c r="I94" s="42">
        <v>1393863</v>
      </c>
      <c r="J94" s="368" t="s">
        <v>149</v>
      </c>
      <c r="K94" s="546">
        <v>2.2</v>
      </c>
      <c r="L94" s="173">
        <f>14929-11739</f>
        <v>3190</v>
      </c>
      <c r="M94" s="170"/>
      <c r="N94" s="170"/>
      <c r="O94" s="171">
        <f t="shared" si="4"/>
        <v>3190</v>
      </c>
      <c r="P94" s="173">
        <f>14929-11739</f>
        <v>3190</v>
      </c>
      <c r="Q94" s="170"/>
      <c r="R94" s="170"/>
      <c r="S94" s="171">
        <f t="shared" si="5"/>
        <v>3190</v>
      </c>
      <c r="T94" s="173">
        <f t="shared" si="6"/>
        <v>6380</v>
      </c>
      <c r="U94" s="170"/>
      <c r="V94" s="170"/>
      <c r="W94" s="171">
        <f t="shared" si="7"/>
        <v>6380</v>
      </c>
    </row>
    <row r="95" spans="1:23" ht="29.25">
      <c r="A95" s="234" t="s">
        <v>7</v>
      </c>
      <c r="B95" s="56" t="s">
        <v>8</v>
      </c>
      <c r="C95" s="56" t="s">
        <v>300</v>
      </c>
      <c r="D95" s="51"/>
      <c r="E95" s="51"/>
      <c r="F95" s="51" t="s">
        <v>159</v>
      </c>
      <c r="G95" s="56" t="s">
        <v>158</v>
      </c>
      <c r="H95" s="302" t="s">
        <v>1109</v>
      </c>
      <c r="I95" s="42">
        <v>1403592</v>
      </c>
      <c r="J95" s="368" t="s">
        <v>149</v>
      </c>
      <c r="K95" s="546">
        <v>2</v>
      </c>
      <c r="L95" s="173">
        <f>28977-22743</f>
        <v>6234</v>
      </c>
      <c r="M95" s="170"/>
      <c r="N95" s="170"/>
      <c r="O95" s="171">
        <f t="shared" si="4"/>
        <v>6234</v>
      </c>
      <c r="P95" s="173">
        <f>28977-22743</f>
        <v>6234</v>
      </c>
      <c r="Q95" s="170"/>
      <c r="R95" s="170"/>
      <c r="S95" s="171">
        <f t="shared" si="5"/>
        <v>6234</v>
      </c>
      <c r="T95" s="173">
        <f t="shared" si="6"/>
        <v>12468</v>
      </c>
      <c r="U95" s="170"/>
      <c r="V95" s="170"/>
      <c r="W95" s="171">
        <f t="shared" si="7"/>
        <v>12468</v>
      </c>
    </row>
    <row r="96" spans="1:23" ht="29.25">
      <c r="A96" s="234" t="s">
        <v>7</v>
      </c>
      <c r="B96" s="56" t="s">
        <v>8</v>
      </c>
      <c r="C96" s="56" t="s">
        <v>296</v>
      </c>
      <c r="D96" s="51"/>
      <c r="E96" s="51"/>
      <c r="F96" s="51" t="s">
        <v>159</v>
      </c>
      <c r="G96" s="56" t="s">
        <v>158</v>
      </c>
      <c r="H96" s="302" t="s">
        <v>1077</v>
      </c>
      <c r="I96" s="42">
        <v>1404281</v>
      </c>
      <c r="J96" s="368" t="s">
        <v>149</v>
      </c>
      <c r="K96" s="546">
        <v>3.1</v>
      </c>
      <c r="L96" s="173">
        <f>74465-61101</f>
        <v>13364</v>
      </c>
      <c r="M96" s="170"/>
      <c r="N96" s="170"/>
      <c r="O96" s="171">
        <f t="shared" si="4"/>
        <v>13364</v>
      </c>
      <c r="P96" s="173">
        <f>74465-61101</f>
        <v>13364</v>
      </c>
      <c r="Q96" s="170"/>
      <c r="R96" s="170"/>
      <c r="S96" s="171">
        <f t="shared" si="5"/>
        <v>13364</v>
      </c>
      <c r="T96" s="173">
        <f t="shared" si="6"/>
        <v>26728</v>
      </c>
      <c r="U96" s="170"/>
      <c r="V96" s="170"/>
      <c r="W96" s="171">
        <f t="shared" si="7"/>
        <v>26728</v>
      </c>
    </row>
    <row r="97" spans="1:23" ht="29.25">
      <c r="A97" s="234" t="s">
        <v>7</v>
      </c>
      <c r="B97" s="56" t="s">
        <v>8</v>
      </c>
      <c r="C97" s="56" t="s">
        <v>295</v>
      </c>
      <c r="D97" s="51"/>
      <c r="E97" s="51"/>
      <c r="F97" s="51" t="s">
        <v>159</v>
      </c>
      <c r="G97" s="56" t="s">
        <v>158</v>
      </c>
      <c r="H97" s="302" t="s">
        <v>1076</v>
      </c>
      <c r="I97" s="42">
        <v>1404279</v>
      </c>
      <c r="J97" s="368" t="s">
        <v>149</v>
      </c>
      <c r="K97" s="546">
        <v>2</v>
      </c>
      <c r="L97" s="173">
        <f>42330-34772</f>
        <v>7558</v>
      </c>
      <c r="M97" s="170"/>
      <c r="N97" s="170"/>
      <c r="O97" s="171">
        <f t="shared" si="4"/>
        <v>7558</v>
      </c>
      <c r="P97" s="173">
        <f>42330-34772</f>
        <v>7558</v>
      </c>
      <c r="Q97" s="170"/>
      <c r="R97" s="170"/>
      <c r="S97" s="171">
        <f t="shared" si="5"/>
        <v>7558</v>
      </c>
      <c r="T97" s="173">
        <f t="shared" si="6"/>
        <v>15116</v>
      </c>
      <c r="U97" s="170"/>
      <c r="V97" s="170"/>
      <c r="W97" s="171">
        <f t="shared" si="7"/>
        <v>15116</v>
      </c>
    </row>
    <row r="98" spans="1:23" ht="29.25">
      <c r="A98" s="234" t="s">
        <v>7</v>
      </c>
      <c r="B98" s="56" t="s">
        <v>8</v>
      </c>
      <c r="C98" s="56" t="s">
        <v>335</v>
      </c>
      <c r="D98" s="51"/>
      <c r="E98" s="51"/>
      <c r="F98" s="51" t="s">
        <v>159</v>
      </c>
      <c r="G98" s="56" t="s">
        <v>158</v>
      </c>
      <c r="H98" s="302" t="s">
        <v>1135</v>
      </c>
      <c r="I98" s="42">
        <v>1398833</v>
      </c>
      <c r="J98" s="368" t="s">
        <v>149</v>
      </c>
      <c r="K98" s="546">
        <v>1.4</v>
      </c>
      <c r="L98" s="173">
        <f>51382-42471</f>
        <v>8911</v>
      </c>
      <c r="M98" s="170"/>
      <c r="N98" s="170"/>
      <c r="O98" s="171">
        <f t="shared" si="4"/>
        <v>8911</v>
      </c>
      <c r="P98" s="173">
        <f>51382-42471</f>
        <v>8911</v>
      </c>
      <c r="Q98" s="170"/>
      <c r="R98" s="170"/>
      <c r="S98" s="171">
        <f t="shared" si="5"/>
        <v>8911</v>
      </c>
      <c r="T98" s="173">
        <f t="shared" si="6"/>
        <v>17822</v>
      </c>
      <c r="U98" s="170"/>
      <c r="V98" s="170"/>
      <c r="W98" s="171">
        <f t="shared" si="7"/>
        <v>17822</v>
      </c>
    </row>
    <row r="99" spans="1:23" ht="29.25">
      <c r="A99" s="234" t="s">
        <v>7</v>
      </c>
      <c r="B99" s="56" t="s">
        <v>8</v>
      </c>
      <c r="C99" s="56" t="s">
        <v>296</v>
      </c>
      <c r="D99" s="51"/>
      <c r="E99" s="51">
        <v>2</v>
      </c>
      <c r="F99" s="51" t="s">
        <v>159</v>
      </c>
      <c r="G99" s="56" t="s">
        <v>158</v>
      </c>
      <c r="H99" s="302" t="s">
        <v>1081</v>
      </c>
      <c r="I99" s="42">
        <v>83426451</v>
      </c>
      <c r="J99" s="368" t="s">
        <v>149</v>
      </c>
      <c r="K99" s="546">
        <v>1</v>
      </c>
      <c r="L99" s="173">
        <f>18705-15000</f>
        <v>3705</v>
      </c>
      <c r="M99" s="170"/>
      <c r="N99" s="170"/>
      <c r="O99" s="171">
        <f t="shared" si="4"/>
        <v>3705</v>
      </c>
      <c r="P99" s="173">
        <f>18705-15000</f>
        <v>3705</v>
      </c>
      <c r="Q99" s="170"/>
      <c r="R99" s="170"/>
      <c r="S99" s="171">
        <f t="shared" si="5"/>
        <v>3705</v>
      </c>
      <c r="T99" s="173">
        <f t="shared" si="6"/>
        <v>7410</v>
      </c>
      <c r="U99" s="170"/>
      <c r="V99" s="170"/>
      <c r="W99" s="171">
        <f t="shared" si="7"/>
        <v>7410</v>
      </c>
    </row>
    <row r="100" spans="1:23" ht="29.25">
      <c r="A100" s="234" t="s">
        <v>7</v>
      </c>
      <c r="B100" s="56" t="s">
        <v>8</v>
      </c>
      <c r="C100" s="56" t="s">
        <v>298</v>
      </c>
      <c r="D100" s="51"/>
      <c r="E100" s="51"/>
      <c r="F100" s="51" t="s">
        <v>159</v>
      </c>
      <c r="G100" s="56" t="s">
        <v>158</v>
      </c>
      <c r="H100" s="302" t="s">
        <v>1082</v>
      </c>
      <c r="I100" s="42">
        <v>1399803</v>
      </c>
      <c r="J100" s="368" t="s">
        <v>149</v>
      </c>
      <c r="K100" s="546">
        <v>2.1</v>
      </c>
      <c r="L100" s="173">
        <f>53174-41290</f>
        <v>11884</v>
      </c>
      <c r="M100" s="170"/>
      <c r="N100" s="170"/>
      <c r="O100" s="171">
        <f t="shared" si="4"/>
        <v>11884</v>
      </c>
      <c r="P100" s="173">
        <f>53174-41290</f>
        <v>11884</v>
      </c>
      <c r="Q100" s="170"/>
      <c r="R100" s="170"/>
      <c r="S100" s="171">
        <f t="shared" si="5"/>
        <v>11884</v>
      </c>
      <c r="T100" s="173">
        <f t="shared" si="6"/>
        <v>23768</v>
      </c>
      <c r="U100" s="170"/>
      <c r="V100" s="170"/>
      <c r="W100" s="171">
        <f t="shared" si="7"/>
        <v>23768</v>
      </c>
    </row>
    <row r="101" spans="1:23" ht="29.25">
      <c r="A101" s="234" t="s">
        <v>7</v>
      </c>
      <c r="B101" s="56" t="s">
        <v>8</v>
      </c>
      <c r="C101" s="56" t="s">
        <v>322</v>
      </c>
      <c r="D101" s="56" t="s">
        <v>204</v>
      </c>
      <c r="E101" s="51"/>
      <c r="F101" s="51" t="s">
        <v>159</v>
      </c>
      <c r="G101" s="56" t="s">
        <v>158</v>
      </c>
      <c r="H101" s="302" t="s">
        <v>1119</v>
      </c>
      <c r="I101" s="42">
        <v>1494935</v>
      </c>
      <c r="J101" s="368" t="s">
        <v>149</v>
      </c>
      <c r="K101" s="546">
        <v>0.5</v>
      </c>
      <c r="L101" s="173">
        <f>10999-8710</f>
        <v>2289</v>
      </c>
      <c r="M101" s="170"/>
      <c r="N101" s="170"/>
      <c r="O101" s="171">
        <f t="shared" si="4"/>
        <v>2289</v>
      </c>
      <c r="P101" s="173">
        <f>10999-8710</f>
        <v>2289</v>
      </c>
      <c r="Q101" s="170"/>
      <c r="R101" s="170"/>
      <c r="S101" s="171">
        <f t="shared" si="5"/>
        <v>2289</v>
      </c>
      <c r="T101" s="173">
        <f t="shared" si="6"/>
        <v>4578</v>
      </c>
      <c r="U101" s="170"/>
      <c r="V101" s="170"/>
      <c r="W101" s="171">
        <f t="shared" si="7"/>
        <v>4578</v>
      </c>
    </row>
    <row r="102" spans="1:23" ht="29.25">
      <c r="A102" s="234" t="s">
        <v>7</v>
      </c>
      <c r="B102" s="56" t="s">
        <v>8</v>
      </c>
      <c r="C102" s="56" t="s">
        <v>320</v>
      </c>
      <c r="D102" s="56" t="s">
        <v>164</v>
      </c>
      <c r="E102" s="51"/>
      <c r="F102" s="51" t="s">
        <v>159</v>
      </c>
      <c r="G102" s="56" t="s">
        <v>158</v>
      </c>
      <c r="H102" s="302" t="s">
        <v>1106</v>
      </c>
      <c r="I102" s="42">
        <v>1404277</v>
      </c>
      <c r="J102" s="368" t="s">
        <v>149</v>
      </c>
      <c r="K102" s="546">
        <v>2.5</v>
      </c>
      <c r="L102" s="173">
        <f>80099-67165</f>
        <v>12934</v>
      </c>
      <c r="M102" s="170"/>
      <c r="N102" s="170"/>
      <c r="O102" s="171">
        <f t="shared" si="4"/>
        <v>12934</v>
      </c>
      <c r="P102" s="173">
        <f>80099-67165</f>
        <v>12934</v>
      </c>
      <c r="Q102" s="170"/>
      <c r="R102" s="170"/>
      <c r="S102" s="171">
        <f t="shared" si="5"/>
        <v>12934</v>
      </c>
      <c r="T102" s="173">
        <f t="shared" si="6"/>
        <v>25868</v>
      </c>
      <c r="U102" s="170"/>
      <c r="V102" s="170"/>
      <c r="W102" s="171">
        <f t="shared" si="7"/>
        <v>25868</v>
      </c>
    </row>
    <row r="103" spans="1:23" ht="29.25">
      <c r="A103" s="234" t="s">
        <v>7</v>
      </c>
      <c r="B103" s="56" t="s">
        <v>8</v>
      </c>
      <c r="C103" s="56" t="s">
        <v>335</v>
      </c>
      <c r="D103" s="51"/>
      <c r="E103" s="51"/>
      <c r="F103" s="51" t="s">
        <v>159</v>
      </c>
      <c r="G103" s="56" t="s">
        <v>158</v>
      </c>
      <c r="H103" s="302" t="s">
        <v>1139</v>
      </c>
      <c r="I103" s="42">
        <v>1399806</v>
      </c>
      <c r="J103" s="368" t="s">
        <v>149</v>
      </c>
      <c r="K103" s="546">
        <v>0.5</v>
      </c>
      <c r="L103" s="173">
        <f>35426-30001</f>
        <v>5425</v>
      </c>
      <c r="M103" s="170"/>
      <c r="N103" s="170"/>
      <c r="O103" s="171">
        <f t="shared" si="4"/>
        <v>5425</v>
      </c>
      <c r="P103" s="173">
        <f>35426-30001</f>
        <v>5425</v>
      </c>
      <c r="Q103" s="170"/>
      <c r="R103" s="170"/>
      <c r="S103" s="171">
        <f t="shared" si="5"/>
        <v>5425</v>
      </c>
      <c r="T103" s="173">
        <f t="shared" si="6"/>
        <v>10850</v>
      </c>
      <c r="U103" s="170"/>
      <c r="V103" s="170"/>
      <c r="W103" s="171">
        <f t="shared" si="7"/>
        <v>10850</v>
      </c>
    </row>
    <row r="104" spans="1:23" ht="29.25">
      <c r="A104" s="234" t="s">
        <v>7</v>
      </c>
      <c r="B104" s="56" t="s">
        <v>8</v>
      </c>
      <c r="C104" s="56" t="s">
        <v>312</v>
      </c>
      <c r="D104" s="51"/>
      <c r="E104" s="51">
        <v>2</v>
      </c>
      <c r="F104" s="51" t="s">
        <v>159</v>
      </c>
      <c r="G104" s="56" t="s">
        <v>158</v>
      </c>
      <c r="H104" s="302" t="s">
        <v>1072</v>
      </c>
      <c r="I104" s="42">
        <v>1401633</v>
      </c>
      <c r="J104" s="368" t="s">
        <v>149</v>
      </c>
      <c r="K104" s="546">
        <v>2.2</v>
      </c>
      <c r="L104" s="173">
        <f>32076-25894</f>
        <v>6182</v>
      </c>
      <c r="M104" s="170"/>
      <c r="N104" s="170"/>
      <c r="O104" s="171">
        <f t="shared" si="4"/>
        <v>6182</v>
      </c>
      <c r="P104" s="173">
        <f>32076-25894</f>
        <v>6182</v>
      </c>
      <c r="Q104" s="170"/>
      <c r="R104" s="170"/>
      <c r="S104" s="171">
        <f t="shared" si="5"/>
        <v>6182</v>
      </c>
      <c r="T104" s="173">
        <f t="shared" si="6"/>
        <v>12364</v>
      </c>
      <c r="U104" s="170"/>
      <c r="V104" s="170"/>
      <c r="W104" s="171">
        <f t="shared" si="7"/>
        <v>12364</v>
      </c>
    </row>
    <row r="105" spans="1:23" ht="29.25">
      <c r="A105" s="234" t="s">
        <v>7</v>
      </c>
      <c r="B105" s="56" t="s">
        <v>8</v>
      </c>
      <c r="C105" s="56" t="s">
        <v>299</v>
      </c>
      <c r="D105" s="51"/>
      <c r="E105" s="51"/>
      <c r="F105" s="51" t="s">
        <v>159</v>
      </c>
      <c r="G105" s="56" t="s">
        <v>158</v>
      </c>
      <c r="H105" s="302" t="s">
        <v>1087</v>
      </c>
      <c r="I105" s="42">
        <v>1403579</v>
      </c>
      <c r="J105" s="368" t="s">
        <v>149</v>
      </c>
      <c r="K105" s="546">
        <v>0.5</v>
      </c>
      <c r="L105" s="173">
        <f>26800-21256</f>
        <v>5544</v>
      </c>
      <c r="M105" s="170"/>
      <c r="N105" s="170"/>
      <c r="O105" s="171">
        <f t="shared" si="4"/>
        <v>5544</v>
      </c>
      <c r="P105" s="173">
        <f>26800-21256</f>
        <v>5544</v>
      </c>
      <c r="Q105" s="170"/>
      <c r="R105" s="170"/>
      <c r="S105" s="171">
        <f t="shared" si="5"/>
        <v>5544</v>
      </c>
      <c r="T105" s="173">
        <f t="shared" si="6"/>
        <v>11088</v>
      </c>
      <c r="U105" s="170"/>
      <c r="V105" s="170"/>
      <c r="W105" s="171">
        <f t="shared" si="7"/>
        <v>11088</v>
      </c>
    </row>
    <row r="106" spans="1:23" ht="29.25">
      <c r="A106" s="234" t="s">
        <v>7</v>
      </c>
      <c r="B106" s="56" t="s">
        <v>8</v>
      </c>
      <c r="C106" s="56" t="s">
        <v>304</v>
      </c>
      <c r="D106" s="51"/>
      <c r="E106" s="56" t="s">
        <v>307</v>
      </c>
      <c r="F106" s="51" t="s">
        <v>159</v>
      </c>
      <c r="G106" s="56" t="s">
        <v>158</v>
      </c>
      <c r="H106" s="302" t="s">
        <v>1065</v>
      </c>
      <c r="I106" s="42">
        <v>1398938</v>
      </c>
      <c r="J106" s="368" t="s">
        <v>149</v>
      </c>
      <c r="K106" s="546">
        <v>2.2</v>
      </c>
      <c r="L106" s="173">
        <f>26706-22347</f>
        <v>4359</v>
      </c>
      <c r="M106" s="170"/>
      <c r="N106" s="170"/>
      <c r="O106" s="171">
        <f t="shared" si="4"/>
        <v>4359</v>
      </c>
      <c r="P106" s="173">
        <f>26706-22347</f>
        <v>4359</v>
      </c>
      <c r="Q106" s="170"/>
      <c r="R106" s="170"/>
      <c r="S106" s="171">
        <f t="shared" si="5"/>
        <v>4359</v>
      </c>
      <c r="T106" s="173">
        <f t="shared" si="6"/>
        <v>8718</v>
      </c>
      <c r="U106" s="170"/>
      <c r="V106" s="170"/>
      <c r="W106" s="171">
        <f t="shared" si="7"/>
        <v>8718</v>
      </c>
    </row>
    <row r="107" spans="1:23" ht="29.25">
      <c r="A107" s="234" t="s">
        <v>7</v>
      </c>
      <c r="B107" s="56" t="s">
        <v>8</v>
      </c>
      <c r="C107" s="56" t="s">
        <v>319</v>
      </c>
      <c r="D107" s="51"/>
      <c r="E107" s="51"/>
      <c r="F107" s="51" t="s">
        <v>159</v>
      </c>
      <c r="G107" s="56" t="s">
        <v>158</v>
      </c>
      <c r="H107" s="302" t="s">
        <v>1103</v>
      </c>
      <c r="I107" s="42">
        <v>90695786</v>
      </c>
      <c r="J107" s="368" t="s">
        <v>149</v>
      </c>
      <c r="K107" s="546">
        <v>1</v>
      </c>
      <c r="L107" s="173">
        <f>16221-12529</f>
        <v>3692</v>
      </c>
      <c r="M107" s="170"/>
      <c r="N107" s="170"/>
      <c r="O107" s="171">
        <f t="shared" si="4"/>
        <v>3692</v>
      </c>
      <c r="P107" s="173">
        <f>16221-12529</f>
        <v>3692</v>
      </c>
      <c r="Q107" s="170"/>
      <c r="R107" s="170"/>
      <c r="S107" s="171">
        <f t="shared" si="5"/>
        <v>3692</v>
      </c>
      <c r="T107" s="173">
        <f t="shared" si="6"/>
        <v>7384</v>
      </c>
      <c r="U107" s="170"/>
      <c r="V107" s="170"/>
      <c r="W107" s="171">
        <f t="shared" si="7"/>
        <v>7384</v>
      </c>
    </row>
    <row r="108" spans="1:23" ht="29.25">
      <c r="A108" s="234" t="s">
        <v>7</v>
      </c>
      <c r="B108" s="56" t="s">
        <v>8</v>
      </c>
      <c r="C108" s="56" t="s">
        <v>322</v>
      </c>
      <c r="D108" s="51"/>
      <c r="E108" s="51"/>
      <c r="F108" s="51" t="s">
        <v>159</v>
      </c>
      <c r="G108" s="56" t="s">
        <v>158</v>
      </c>
      <c r="H108" s="302" t="s">
        <v>1115</v>
      </c>
      <c r="I108" s="42">
        <v>89083393</v>
      </c>
      <c r="J108" s="368" t="s">
        <v>149</v>
      </c>
      <c r="K108" s="546">
        <v>2.8</v>
      </c>
      <c r="L108" s="173">
        <f>2170-1012</f>
        <v>1158</v>
      </c>
      <c r="M108" s="170"/>
      <c r="N108" s="170"/>
      <c r="O108" s="171">
        <f t="shared" si="4"/>
        <v>1158</v>
      </c>
      <c r="P108" s="173">
        <f>2170-1012</f>
        <v>1158</v>
      </c>
      <c r="Q108" s="170"/>
      <c r="R108" s="170"/>
      <c r="S108" s="171">
        <f t="shared" si="5"/>
        <v>1158</v>
      </c>
      <c r="T108" s="173">
        <f t="shared" si="6"/>
        <v>2316</v>
      </c>
      <c r="U108" s="170"/>
      <c r="V108" s="170"/>
      <c r="W108" s="171">
        <f t="shared" si="7"/>
        <v>2316</v>
      </c>
    </row>
    <row r="109" spans="1:23" ht="29.25">
      <c r="A109" s="234" t="s">
        <v>7</v>
      </c>
      <c r="B109" s="56" t="s">
        <v>8</v>
      </c>
      <c r="C109" s="56" t="s">
        <v>325</v>
      </c>
      <c r="D109" s="51"/>
      <c r="E109" s="51"/>
      <c r="F109" s="51" t="s">
        <v>159</v>
      </c>
      <c r="G109" s="56" t="s">
        <v>158</v>
      </c>
      <c r="H109" s="302" t="s">
        <v>1117</v>
      </c>
      <c r="I109" s="42">
        <v>1387592</v>
      </c>
      <c r="J109" s="368" t="s">
        <v>149</v>
      </c>
      <c r="K109" s="242">
        <v>3.7</v>
      </c>
      <c r="L109" s="173">
        <f>125899-103878</f>
        <v>22021</v>
      </c>
      <c r="M109" s="170"/>
      <c r="N109" s="170"/>
      <c r="O109" s="171">
        <f t="shared" si="4"/>
        <v>22021</v>
      </c>
      <c r="P109" s="173">
        <f>125899-103878</f>
        <v>22021</v>
      </c>
      <c r="Q109" s="170"/>
      <c r="R109" s="170"/>
      <c r="S109" s="171">
        <f t="shared" si="5"/>
        <v>22021</v>
      </c>
      <c r="T109" s="173">
        <f t="shared" si="6"/>
        <v>44042</v>
      </c>
      <c r="U109" s="170"/>
      <c r="V109" s="170"/>
      <c r="W109" s="171">
        <f t="shared" si="7"/>
        <v>44042</v>
      </c>
    </row>
    <row r="110" spans="1:23" ht="29.25">
      <c r="A110" s="234" t="s">
        <v>7</v>
      </c>
      <c r="B110" s="56" t="s">
        <v>8</v>
      </c>
      <c r="C110" s="56" t="s">
        <v>295</v>
      </c>
      <c r="D110" s="51"/>
      <c r="E110" s="51">
        <v>2</v>
      </c>
      <c r="F110" s="51" t="s">
        <v>159</v>
      </c>
      <c r="G110" s="56" t="s">
        <v>158</v>
      </c>
      <c r="H110" s="302" t="s">
        <v>1078</v>
      </c>
      <c r="I110" s="42">
        <v>1387585</v>
      </c>
      <c r="J110" s="368" t="s">
        <v>149</v>
      </c>
      <c r="K110" s="546">
        <v>2</v>
      </c>
      <c r="L110" s="173">
        <f>45575-35669</f>
        <v>9906</v>
      </c>
      <c r="M110" s="170"/>
      <c r="N110" s="170"/>
      <c r="O110" s="171">
        <f t="shared" si="4"/>
        <v>9906</v>
      </c>
      <c r="P110" s="173">
        <f>45575-35669</f>
        <v>9906</v>
      </c>
      <c r="Q110" s="170"/>
      <c r="R110" s="170"/>
      <c r="S110" s="171">
        <f t="shared" si="5"/>
        <v>9906</v>
      </c>
      <c r="T110" s="173">
        <f t="shared" si="6"/>
        <v>19812</v>
      </c>
      <c r="U110" s="170"/>
      <c r="V110" s="170"/>
      <c r="W110" s="171">
        <f t="shared" si="7"/>
        <v>19812</v>
      </c>
    </row>
    <row r="111" spans="1:23" ht="29.25">
      <c r="A111" s="234" t="s">
        <v>7</v>
      </c>
      <c r="B111" s="56" t="s">
        <v>8</v>
      </c>
      <c r="C111" s="56" t="s">
        <v>325</v>
      </c>
      <c r="D111" s="56" t="s">
        <v>326</v>
      </c>
      <c r="E111" s="51"/>
      <c r="F111" s="51" t="s">
        <v>159</v>
      </c>
      <c r="G111" s="56" t="s">
        <v>158</v>
      </c>
      <c r="H111" s="302" t="s">
        <v>1118</v>
      </c>
      <c r="I111" s="42">
        <v>1482536</v>
      </c>
      <c r="J111" s="368" t="s">
        <v>149</v>
      </c>
      <c r="K111" s="546">
        <v>0.3</v>
      </c>
      <c r="L111" s="173">
        <f>29111-24541</f>
        <v>4570</v>
      </c>
      <c r="M111" s="170"/>
      <c r="N111" s="170"/>
      <c r="O111" s="171">
        <f t="shared" si="4"/>
        <v>4570</v>
      </c>
      <c r="P111" s="173">
        <f>29111-24541</f>
        <v>4570</v>
      </c>
      <c r="Q111" s="170"/>
      <c r="R111" s="170"/>
      <c r="S111" s="171">
        <f t="shared" si="5"/>
        <v>4570</v>
      </c>
      <c r="T111" s="173">
        <f t="shared" si="6"/>
        <v>9140</v>
      </c>
      <c r="U111" s="170"/>
      <c r="V111" s="170"/>
      <c r="W111" s="171">
        <f t="shared" si="7"/>
        <v>9140</v>
      </c>
    </row>
    <row r="112" spans="1:23" ht="29.25">
      <c r="A112" s="234" t="s">
        <v>7</v>
      </c>
      <c r="B112" s="56" t="s">
        <v>8</v>
      </c>
      <c r="C112" s="56" t="s">
        <v>338</v>
      </c>
      <c r="D112" s="51"/>
      <c r="E112" s="51"/>
      <c r="F112" s="51" t="s">
        <v>159</v>
      </c>
      <c r="G112" s="56" t="s">
        <v>158</v>
      </c>
      <c r="H112" s="302" t="s">
        <v>1129</v>
      </c>
      <c r="I112" s="42">
        <v>83143604</v>
      </c>
      <c r="J112" s="368" t="s">
        <v>149</v>
      </c>
      <c r="K112" s="546">
        <v>1.5</v>
      </c>
      <c r="L112" s="173">
        <f>54397-41768</f>
        <v>12629</v>
      </c>
      <c r="M112" s="170"/>
      <c r="N112" s="170"/>
      <c r="O112" s="171">
        <f t="shared" si="4"/>
        <v>12629</v>
      </c>
      <c r="P112" s="173">
        <f>54397-41768</f>
        <v>12629</v>
      </c>
      <c r="Q112" s="170"/>
      <c r="R112" s="170"/>
      <c r="S112" s="171">
        <f t="shared" si="5"/>
        <v>12629</v>
      </c>
      <c r="T112" s="173">
        <f t="shared" si="6"/>
        <v>25258</v>
      </c>
      <c r="U112" s="170"/>
      <c r="V112" s="170"/>
      <c r="W112" s="171">
        <f t="shared" si="7"/>
        <v>25258</v>
      </c>
    </row>
    <row r="113" spans="1:23" ht="29.25">
      <c r="A113" s="234" t="s">
        <v>7</v>
      </c>
      <c r="B113" s="56" t="s">
        <v>8</v>
      </c>
      <c r="C113" s="56" t="s">
        <v>298</v>
      </c>
      <c r="D113" s="56" t="s">
        <v>356</v>
      </c>
      <c r="E113" s="51">
        <v>178</v>
      </c>
      <c r="F113" s="51" t="s">
        <v>159</v>
      </c>
      <c r="G113" s="56" t="s">
        <v>158</v>
      </c>
      <c r="H113" s="302" t="s">
        <v>1141</v>
      </c>
      <c r="I113" s="42">
        <v>1403587</v>
      </c>
      <c r="J113" s="368" t="s">
        <v>149</v>
      </c>
      <c r="K113" s="546">
        <v>3.3</v>
      </c>
      <c r="L113" s="173">
        <f>40696-31287</f>
        <v>9409</v>
      </c>
      <c r="M113" s="170"/>
      <c r="N113" s="170"/>
      <c r="O113" s="171">
        <f t="shared" si="4"/>
        <v>9409</v>
      </c>
      <c r="P113" s="173">
        <f>40696-31287</f>
        <v>9409</v>
      </c>
      <c r="Q113" s="170"/>
      <c r="R113" s="170"/>
      <c r="S113" s="171">
        <f t="shared" si="5"/>
        <v>9409</v>
      </c>
      <c r="T113" s="173">
        <f t="shared" si="6"/>
        <v>18818</v>
      </c>
      <c r="U113" s="170"/>
      <c r="V113" s="170"/>
      <c r="W113" s="171">
        <f t="shared" si="7"/>
        <v>18818</v>
      </c>
    </row>
    <row r="114" spans="1:23" ht="29.25">
      <c r="A114" s="234" t="s">
        <v>7</v>
      </c>
      <c r="B114" s="56" t="s">
        <v>8</v>
      </c>
      <c r="C114" s="56" t="s">
        <v>335</v>
      </c>
      <c r="D114" s="51"/>
      <c r="E114" s="51"/>
      <c r="F114" s="51" t="s">
        <v>159</v>
      </c>
      <c r="G114" s="56" t="s">
        <v>158</v>
      </c>
      <c r="H114" s="302" t="s">
        <v>1131</v>
      </c>
      <c r="I114" s="326">
        <v>1404285</v>
      </c>
      <c r="J114" s="368" t="s">
        <v>149</v>
      </c>
      <c r="K114" s="546">
        <v>1.8</v>
      </c>
      <c r="L114" s="173">
        <f>44637-36590</f>
        <v>8047</v>
      </c>
      <c r="M114" s="170"/>
      <c r="N114" s="170"/>
      <c r="O114" s="171">
        <f t="shared" si="4"/>
        <v>8047</v>
      </c>
      <c r="P114" s="173">
        <f>44637-36590</f>
        <v>8047</v>
      </c>
      <c r="Q114" s="170"/>
      <c r="R114" s="170"/>
      <c r="S114" s="171">
        <f t="shared" si="5"/>
        <v>8047</v>
      </c>
      <c r="T114" s="173">
        <f t="shared" si="6"/>
        <v>16094</v>
      </c>
      <c r="U114" s="170"/>
      <c r="V114" s="170"/>
      <c r="W114" s="171">
        <f t="shared" si="7"/>
        <v>16094</v>
      </c>
    </row>
    <row r="115" spans="1:23" ht="29.25">
      <c r="A115" s="234" t="s">
        <v>7</v>
      </c>
      <c r="B115" s="56" t="s">
        <v>8</v>
      </c>
      <c r="C115" s="56" t="s">
        <v>324</v>
      </c>
      <c r="D115" s="51"/>
      <c r="E115" s="51"/>
      <c r="F115" s="51" t="s">
        <v>159</v>
      </c>
      <c r="G115" s="56" t="s">
        <v>158</v>
      </c>
      <c r="H115" s="302" t="s">
        <v>1114</v>
      </c>
      <c r="I115" s="42">
        <v>89114957</v>
      </c>
      <c r="J115" s="368" t="s">
        <v>149</v>
      </c>
      <c r="K115" s="546">
        <v>1.5</v>
      </c>
      <c r="L115" s="173">
        <f>18982-12368</f>
        <v>6614</v>
      </c>
      <c r="M115" s="170"/>
      <c r="N115" s="170"/>
      <c r="O115" s="171">
        <f t="shared" si="4"/>
        <v>6614</v>
      </c>
      <c r="P115" s="173">
        <f>18982-12368</f>
        <v>6614</v>
      </c>
      <c r="Q115" s="170"/>
      <c r="R115" s="170"/>
      <c r="S115" s="171">
        <f t="shared" si="5"/>
        <v>6614</v>
      </c>
      <c r="T115" s="173">
        <f t="shared" si="6"/>
        <v>13228</v>
      </c>
      <c r="U115" s="170"/>
      <c r="V115" s="170"/>
      <c r="W115" s="171">
        <f t="shared" si="7"/>
        <v>13228</v>
      </c>
    </row>
    <row r="116" spans="1:23" ht="29.25">
      <c r="A116" s="234" t="s">
        <v>7</v>
      </c>
      <c r="B116" s="56" t="s">
        <v>8</v>
      </c>
      <c r="C116" s="56" t="s">
        <v>342</v>
      </c>
      <c r="D116" s="56" t="s">
        <v>343</v>
      </c>
      <c r="E116" s="51"/>
      <c r="F116" s="51" t="s">
        <v>159</v>
      </c>
      <c r="G116" s="56" t="s">
        <v>158</v>
      </c>
      <c r="H116" s="302" t="s">
        <v>1140</v>
      </c>
      <c r="I116" s="42">
        <v>1382663</v>
      </c>
      <c r="J116" s="368" t="s">
        <v>149</v>
      </c>
      <c r="K116" s="546">
        <v>2.1</v>
      </c>
      <c r="L116" s="173">
        <f>68885-54623</f>
        <v>14262</v>
      </c>
      <c r="M116" s="170"/>
      <c r="N116" s="170"/>
      <c r="O116" s="171">
        <f t="shared" si="4"/>
        <v>14262</v>
      </c>
      <c r="P116" s="173">
        <f>68885-54623</f>
        <v>14262</v>
      </c>
      <c r="Q116" s="170"/>
      <c r="R116" s="170"/>
      <c r="S116" s="171">
        <f t="shared" si="5"/>
        <v>14262</v>
      </c>
      <c r="T116" s="173">
        <f t="shared" si="6"/>
        <v>28524</v>
      </c>
      <c r="U116" s="170"/>
      <c r="V116" s="170"/>
      <c r="W116" s="171">
        <f t="shared" si="7"/>
        <v>28524</v>
      </c>
    </row>
    <row r="117" spans="1:23" ht="29.25">
      <c r="A117" s="234" t="s">
        <v>7</v>
      </c>
      <c r="B117" s="56" t="s">
        <v>8</v>
      </c>
      <c r="C117" s="56" t="s">
        <v>303</v>
      </c>
      <c r="D117" s="56"/>
      <c r="E117" s="51"/>
      <c r="F117" s="51" t="s">
        <v>159</v>
      </c>
      <c r="G117" s="56" t="s">
        <v>158</v>
      </c>
      <c r="H117" s="302" t="s">
        <v>1061</v>
      </c>
      <c r="I117" s="42">
        <v>1481793</v>
      </c>
      <c r="J117" s="368" t="s">
        <v>149</v>
      </c>
      <c r="K117" s="546">
        <v>2.2</v>
      </c>
      <c r="L117" s="173">
        <f>21573-17048</f>
        <v>4525</v>
      </c>
      <c r="M117" s="170"/>
      <c r="N117" s="170"/>
      <c r="O117" s="171">
        <f t="shared" si="4"/>
        <v>4525</v>
      </c>
      <c r="P117" s="173">
        <f>21573-17048</f>
        <v>4525</v>
      </c>
      <c r="Q117" s="170"/>
      <c r="R117" s="170"/>
      <c r="S117" s="171">
        <f t="shared" si="5"/>
        <v>4525</v>
      </c>
      <c r="T117" s="173">
        <f t="shared" si="6"/>
        <v>9050</v>
      </c>
      <c r="U117" s="170"/>
      <c r="V117" s="170"/>
      <c r="W117" s="171">
        <f t="shared" si="7"/>
        <v>9050</v>
      </c>
    </row>
    <row r="118" spans="1:23" ht="29.25">
      <c r="A118" s="234" t="s">
        <v>7</v>
      </c>
      <c r="B118" s="56" t="s">
        <v>8</v>
      </c>
      <c r="C118" s="56" t="s">
        <v>329</v>
      </c>
      <c r="D118" s="56" t="s">
        <v>333</v>
      </c>
      <c r="E118" s="56" t="s">
        <v>334</v>
      </c>
      <c r="F118" s="51" t="s">
        <v>159</v>
      </c>
      <c r="G118" s="56" t="s">
        <v>158</v>
      </c>
      <c r="H118" s="302" t="s">
        <v>1124</v>
      </c>
      <c r="I118" s="42">
        <v>1387590</v>
      </c>
      <c r="J118" s="368" t="s">
        <v>149</v>
      </c>
      <c r="K118" s="546">
        <v>1.6</v>
      </c>
      <c r="L118" s="173">
        <f>56788-47236</f>
        <v>9552</v>
      </c>
      <c r="M118" s="170"/>
      <c r="N118" s="170"/>
      <c r="O118" s="171">
        <f t="shared" si="4"/>
        <v>9552</v>
      </c>
      <c r="P118" s="173">
        <f>56788-47236</f>
        <v>9552</v>
      </c>
      <c r="Q118" s="170"/>
      <c r="R118" s="170"/>
      <c r="S118" s="171">
        <f t="shared" si="5"/>
        <v>9552</v>
      </c>
      <c r="T118" s="173">
        <f t="shared" si="6"/>
        <v>19104</v>
      </c>
      <c r="U118" s="170"/>
      <c r="V118" s="170"/>
      <c r="W118" s="171">
        <f t="shared" si="7"/>
        <v>19104</v>
      </c>
    </row>
    <row r="119" spans="1:23" ht="29.25">
      <c r="A119" s="234" t="s">
        <v>7</v>
      </c>
      <c r="B119" s="56" t="s">
        <v>8</v>
      </c>
      <c r="C119" s="56" t="s">
        <v>335</v>
      </c>
      <c r="D119" s="51"/>
      <c r="E119" s="51"/>
      <c r="F119" s="51" t="s">
        <v>159</v>
      </c>
      <c r="G119" s="56" t="s">
        <v>158</v>
      </c>
      <c r="H119" s="302" t="s">
        <v>1136</v>
      </c>
      <c r="I119" s="42">
        <v>1403593</v>
      </c>
      <c r="J119" s="368" t="s">
        <v>149</v>
      </c>
      <c r="K119" s="649">
        <v>0.6</v>
      </c>
      <c r="L119" s="173">
        <f>25134-20532</f>
        <v>4602</v>
      </c>
      <c r="M119" s="170"/>
      <c r="N119" s="170"/>
      <c r="O119" s="171">
        <f t="shared" si="4"/>
        <v>4602</v>
      </c>
      <c r="P119" s="173">
        <f>25134-20532</f>
        <v>4602</v>
      </c>
      <c r="Q119" s="170"/>
      <c r="R119" s="170"/>
      <c r="S119" s="171">
        <f t="shared" si="5"/>
        <v>4602</v>
      </c>
      <c r="T119" s="173">
        <f t="shared" si="6"/>
        <v>9204</v>
      </c>
      <c r="U119" s="170"/>
      <c r="V119" s="170"/>
      <c r="W119" s="171">
        <f t="shared" si="7"/>
        <v>9204</v>
      </c>
    </row>
    <row r="120" spans="1:23" ht="29.25">
      <c r="A120" s="234" t="s">
        <v>7</v>
      </c>
      <c r="B120" s="56" t="s">
        <v>8</v>
      </c>
      <c r="C120" s="56" t="s">
        <v>329</v>
      </c>
      <c r="D120" s="56" t="s">
        <v>330</v>
      </c>
      <c r="E120" s="51"/>
      <c r="F120" s="51" t="s">
        <v>159</v>
      </c>
      <c r="G120" s="56" t="s">
        <v>158</v>
      </c>
      <c r="H120" s="302" t="s">
        <v>1122</v>
      </c>
      <c r="I120" s="42">
        <v>1387579</v>
      </c>
      <c r="J120" s="368" t="s">
        <v>149</v>
      </c>
      <c r="K120" s="649">
        <v>2.2</v>
      </c>
      <c r="L120" s="173">
        <f>80999-64333</f>
        <v>16666</v>
      </c>
      <c r="M120" s="170"/>
      <c r="N120" s="170"/>
      <c r="O120" s="171">
        <f t="shared" si="4"/>
        <v>16666</v>
      </c>
      <c r="P120" s="173">
        <f>80999-64333</f>
        <v>16666</v>
      </c>
      <c r="Q120" s="170"/>
      <c r="R120" s="170"/>
      <c r="S120" s="171">
        <f t="shared" si="5"/>
        <v>16666</v>
      </c>
      <c r="T120" s="173">
        <f t="shared" si="6"/>
        <v>33332</v>
      </c>
      <c r="U120" s="170"/>
      <c r="V120" s="170"/>
      <c r="W120" s="171">
        <f t="shared" si="7"/>
        <v>33332</v>
      </c>
    </row>
    <row r="121" spans="1:23" ht="29.25">
      <c r="A121" s="234" t="s">
        <v>7</v>
      </c>
      <c r="B121" s="56" t="s">
        <v>8</v>
      </c>
      <c r="C121" s="56" t="s">
        <v>338</v>
      </c>
      <c r="D121" s="56" t="s">
        <v>339</v>
      </c>
      <c r="E121" s="51"/>
      <c r="F121" s="51" t="s">
        <v>159</v>
      </c>
      <c r="G121" s="56" t="s">
        <v>158</v>
      </c>
      <c r="H121" s="302" t="s">
        <v>1132</v>
      </c>
      <c r="I121" s="42">
        <v>1404283</v>
      </c>
      <c r="J121" s="368" t="s">
        <v>149</v>
      </c>
      <c r="K121" s="546">
        <v>0.5</v>
      </c>
      <c r="L121" s="173">
        <f>43778-34711</f>
        <v>9067</v>
      </c>
      <c r="M121" s="170"/>
      <c r="N121" s="170"/>
      <c r="O121" s="171">
        <f t="shared" si="4"/>
        <v>9067</v>
      </c>
      <c r="P121" s="173">
        <f>43778-34711</f>
        <v>9067</v>
      </c>
      <c r="Q121" s="170"/>
      <c r="R121" s="170"/>
      <c r="S121" s="171">
        <f t="shared" si="5"/>
        <v>9067</v>
      </c>
      <c r="T121" s="173">
        <f t="shared" si="6"/>
        <v>18134</v>
      </c>
      <c r="U121" s="170"/>
      <c r="V121" s="170"/>
      <c r="W121" s="171">
        <f t="shared" si="7"/>
        <v>18134</v>
      </c>
    </row>
    <row r="122" spans="1:23" ht="29.25">
      <c r="A122" s="234" t="s">
        <v>7</v>
      </c>
      <c r="B122" s="56" t="s">
        <v>8</v>
      </c>
      <c r="C122" s="56" t="s">
        <v>329</v>
      </c>
      <c r="D122" s="56" t="s">
        <v>331</v>
      </c>
      <c r="E122" s="56" t="s">
        <v>332</v>
      </c>
      <c r="F122" s="51" t="s">
        <v>159</v>
      </c>
      <c r="G122" s="56" t="s">
        <v>158</v>
      </c>
      <c r="H122" s="302" t="s">
        <v>1123</v>
      </c>
      <c r="I122" s="42">
        <v>1404289</v>
      </c>
      <c r="J122" s="368" t="s">
        <v>149</v>
      </c>
      <c r="K122" s="649">
        <v>1.1</v>
      </c>
      <c r="L122" s="173">
        <f>29344-23502</f>
        <v>5842</v>
      </c>
      <c r="M122" s="170"/>
      <c r="N122" s="170"/>
      <c r="O122" s="171">
        <f t="shared" si="4"/>
        <v>5842</v>
      </c>
      <c r="P122" s="173">
        <f>29344-23502</f>
        <v>5842</v>
      </c>
      <c r="Q122" s="170"/>
      <c r="R122" s="170"/>
      <c r="S122" s="171">
        <f t="shared" si="5"/>
        <v>5842</v>
      </c>
      <c r="T122" s="173">
        <f t="shared" si="6"/>
        <v>11684</v>
      </c>
      <c r="U122" s="170"/>
      <c r="V122" s="170"/>
      <c r="W122" s="171">
        <f t="shared" si="7"/>
        <v>11684</v>
      </c>
    </row>
    <row r="123" spans="1:23" ht="29.25">
      <c r="A123" s="234" t="s">
        <v>7</v>
      </c>
      <c r="B123" s="60" t="s">
        <v>8</v>
      </c>
      <c r="C123" s="60" t="s">
        <v>309</v>
      </c>
      <c r="D123" s="60" t="s">
        <v>310</v>
      </c>
      <c r="E123" s="52">
        <v>5</v>
      </c>
      <c r="F123" s="51" t="s">
        <v>159</v>
      </c>
      <c r="G123" s="56" t="s">
        <v>158</v>
      </c>
      <c r="H123" s="302" t="s">
        <v>1069</v>
      </c>
      <c r="I123" s="42">
        <v>83426580</v>
      </c>
      <c r="J123" s="368" t="s">
        <v>149</v>
      </c>
      <c r="K123" s="546">
        <v>3.1</v>
      </c>
      <c r="L123" s="173">
        <f>90430-71820</f>
        <v>18610</v>
      </c>
      <c r="M123" s="170"/>
      <c r="N123" s="170"/>
      <c r="O123" s="171">
        <f t="shared" si="4"/>
        <v>18610</v>
      </c>
      <c r="P123" s="173">
        <f>90430-71820</f>
        <v>18610</v>
      </c>
      <c r="Q123" s="170"/>
      <c r="R123" s="170"/>
      <c r="S123" s="171">
        <f t="shared" si="5"/>
        <v>18610</v>
      </c>
      <c r="T123" s="173">
        <f t="shared" si="6"/>
        <v>37220</v>
      </c>
      <c r="U123" s="170"/>
      <c r="V123" s="170"/>
      <c r="W123" s="171">
        <f t="shared" si="7"/>
        <v>37220</v>
      </c>
    </row>
    <row r="124" spans="1:23" ht="29.25">
      <c r="A124" s="234" t="s">
        <v>7</v>
      </c>
      <c r="B124" s="56" t="s">
        <v>8</v>
      </c>
      <c r="C124" s="56" t="s">
        <v>301</v>
      </c>
      <c r="D124" s="51"/>
      <c r="E124" s="56" t="s">
        <v>302</v>
      </c>
      <c r="F124" s="51" t="s">
        <v>159</v>
      </c>
      <c r="G124" s="56" t="s">
        <v>158</v>
      </c>
      <c r="H124" s="302" t="s">
        <v>1060</v>
      </c>
      <c r="I124" s="42">
        <v>1399809</v>
      </c>
      <c r="J124" s="368" t="s">
        <v>149</v>
      </c>
      <c r="K124" s="546">
        <v>1.8</v>
      </c>
      <c r="L124" s="173">
        <f>64197-52876</f>
        <v>11321</v>
      </c>
      <c r="M124" s="170"/>
      <c r="N124" s="170"/>
      <c r="O124" s="171">
        <f t="shared" si="4"/>
        <v>11321</v>
      </c>
      <c r="P124" s="173">
        <f>64197-52876</f>
        <v>11321</v>
      </c>
      <c r="Q124" s="170"/>
      <c r="R124" s="170"/>
      <c r="S124" s="171">
        <f t="shared" si="5"/>
        <v>11321</v>
      </c>
      <c r="T124" s="173">
        <f t="shared" si="6"/>
        <v>22642</v>
      </c>
      <c r="U124" s="170"/>
      <c r="V124" s="170"/>
      <c r="W124" s="171">
        <f t="shared" si="7"/>
        <v>22642</v>
      </c>
    </row>
    <row r="125" spans="1:23" ht="29.25">
      <c r="A125" s="233" t="s">
        <v>7</v>
      </c>
      <c r="B125" s="124" t="s">
        <v>8</v>
      </c>
      <c r="C125" s="124" t="s">
        <v>348</v>
      </c>
      <c r="D125" s="124" t="s">
        <v>352</v>
      </c>
      <c r="E125" s="48"/>
      <c r="F125" s="48" t="s">
        <v>159</v>
      </c>
      <c r="G125" s="124" t="s">
        <v>158</v>
      </c>
      <c r="H125" s="313" t="s">
        <v>1163</v>
      </c>
      <c r="I125" s="40">
        <v>83426429</v>
      </c>
      <c r="J125" s="368" t="s">
        <v>149</v>
      </c>
      <c r="K125" s="649">
        <v>0.6</v>
      </c>
      <c r="L125" s="173">
        <f>16066-12245</f>
        <v>3821</v>
      </c>
      <c r="M125" s="170"/>
      <c r="N125" s="170"/>
      <c r="O125" s="171">
        <f t="shared" si="4"/>
        <v>3821</v>
      </c>
      <c r="P125" s="173">
        <f>16066-12245</f>
        <v>3821</v>
      </c>
      <c r="Q125" s="170"/>
      <c r="R125" s="170"/>
      <c r="S125" s="171">
        <f t="shared" si="5"/>
        <v>3821</v>
      </c>
      <c r="T125" s="173">
        <f t="shared" si="6"/>
        <v>7642</v>
      </c>
      <c r="U125" s="170"/>
      <c r="V125" s="170"/>
      <c r="W125" s="171">
        <f t="shared" si="7"/>
        <v>7642</v>
      </c>
    </row>
    <row r="126" spans="1:23" ht="29.25">
      <c r="A126" s="234" t="s">
        <v>7</v>
      </c>
      <c r="B126" s="158" t="s">
        <v>1279</v>
      </c>
      <c r="C126" s="158" t="s">
        <v>321</v>
      </c>
      <c r="D126" s="57"/>
      <c r="E126" s="175"/>
      <c r="F126" s="42" t="s">
        <v>159</v>
      </c>
      <c r="G126" s="25" t="s">
        <v>158</v>
      </c>
      <c r="H126" s="578" t="s">
        <v>1699</v>
      </c>
      <c r="I126" s="68">
        <v>1398819</v>
      </c>
      <c r="J126" s="138" t="s">
        <v>149</v>
      </c>
      <c r="K126" s="242">
        <v>0.4</v>
      </c>
      <c r="L126" s="173">
        <f>11054-10162</f>
        <v>892</v>
      </c>
      <c r="M126" s="170"/>
      <c r="N126" s="170"/>
      <c r="O126" s="171">
        <f t="shared" si="4"/>
        <v>892</v>
      </c>
      <c r="P126" s="173">
        <f>11054-10162</f>
        <v>892</v>
      </c>
      <c r="Q126" s="170"/>
      <c r="R126" s="170"/>
      <c r="S126" s="171">
        <f t="shared" si="5"/>
        <v>892</v>
      </c>
      <c r="T126" s="173">
        <f t="shared" si="6"/>
        <v>1784</v>
      </c>
      <c r="U126" s="170"/>
      <c r="V126" s="170"/>
      <c r="W126" s="171">
        <f t="shared" si="7"/>
        <v>1784</v>
      </c>
    </row>
    <row r="127" spans="1:23" ht="29.25">
      <c r="A127" s="234" t="s">
        <v>7</v>
      </c>
      <c r="B127" s="158" t="s">
        <v>1279</v>
      </c>
      <c r="C127" s="172" t="s">
        <v>318</v>
      </c>
      <c r="D127" s="57" t="s">
        <v>76</v>
      </c>
      <c r="E127" s="175"/>
      <c r="F127" s="42" t="s">
        <v>159</v>
      </c>
      <c r="G127" s="25" t="s">
        <v>158</v>
      </c>
      <c r="H127" s="578" t="s">
        <v>1698</v>
      </c>
      <c r="I127" s="68">
        <v>1404288</v>
      </c>
      <c r="J127" s="368" t="s">
        <v>149</v>
      </c>
      <c r="K127" s="242">
        <v>2.9</v>
      </c>
      <c r="L127" s="173">
        <f>46366-37899</f>
        <v>8467</v>
      </c>
      <c r="M127" s="170"/>
      <c r="N127" s="170"/>
      <c r="O127" s="171">
        <f t="shared" si="4"/>
        <v>8467</v>
      </c>
      <c r="P127" s="173">
        <f>46366-37899</f>
        <v>8467</v>
      </c>
      <c r="Q127" s="170"/>
      <c r="R127" s="170"/>
      <c r="S127" s="171">
        <f t="shared" si="5"/>
        <v>8467</v>
      </c>
      <c r="T127" s="173">
        <f t="shared" si="6"/>
        <v>16934</v>
      </c>
      <c r="U127" s="170"/>
      <c r="V127" s="170"/>
      <c r="W127" s="171">
        <f t="shared" si="7"/>
        <v>16934</v>
      </c>
    </row>
    <row r="128" spans="1:23" ht="29.25">
      <c r="A128" s="234" t="s">
        <v>7</v>
      </c>
      <c r="B128" s="158" t="s">
        <v>1279</v>
      </c>
      <c r="C128" s="158" t="s">
        <v>158</v>
      </c>
      <c r="D128" s="57" t="s">
        <v>1280</v>
      </c>
      <c r="E128" s="51"/>
      <c r="F128" s="42" t="s">
        <v>159</v>
      </c>
      <c r="G128" s="25" t="s">
        <v>158</v>
      </c>
      <c r="H128" s="578" t="s">
        <v>1694</v>
      </c>
      <c r="I128" s="68">
        <v>90695874</v>
      </c>
      <c r="J128" s="138" t="s">
        <v>149</v>
      </c>
      <c r="K128" s="242">
        <v>12</v>
      </c>
      <c r="L128" s="173">
        <f>100114-75333</f>
        <v>24781</v>
      </c>
      <c r="M128" s="170"/>
      <c r="N128" s="170"/>
      <c r="O128" s="171">
        <f t="shared" si="4"/>
        <v>24781</v>
      </c>
      <c r="P128" s="173">
        <f>100114-75333</f>
        <v>24781</v>
      </c>
      <c r="Q128" s="170"/>
      <c r="R128" s="170"/>
      <c r="S128" s="171">
        <f t="shared" si="5"/>
        <v>24781</v>
      </c>
      <c r="T128" s="173">
        <f t="shared" si="6"/>
        <v>49562</v>
      </c>
      <c r="U128" s="170"/>
      <c r="V128" s="170"/>
      <c r="W128" s="171">
        <f t="shared" si="7"/>
        <v>49562</v>
      </c>
    </row>
    <row r="129" spans="1:23" ht="29.25">
      <c r="A129" s="234" t="s">
        <v>7</v>
      </c>
      <c r="B129" s="270" t="s">
        <v>1279</v>
      </c>
      <c r="C129" s="270" t="s">
        <v>304</v>
      </c>
      <c r="D129" s="648" t="s">
        <v>350</v>
      </c>
      <c r="E129" s="52"/>
      <c r="F129" s="42" t="s">
        <v>159</v>
      </c>
      <c r="G129" s="25" t="s">
        <v>158</v>
      </c>
      <c r="H129" s="578" t="s">
        <v>1696</v>
      </c>
      <c r="I129" s="68">
        <v>83426488</v>
      </c>
      <c r="J129" s="367" t="s">
        <v>149</v>
      </c>
      <c r="K129" s="242">
        <v>0.5</v>
      </c>
      <c r="L129" s="173">
        <f>19800-15566</f>
        <v>4234</v>
      </c>
      <c r="M129" s="170"/>
      <c r="N129" s="170"/>
      <c r="O129" s="171">
        <f t="shared" si="4"/>
        <v>4234</v>
      </c>
      <c r="P129" s="173">
        <f>19800-15566</f>
        <v>4234</v>
      </c>
      <c r="Q129" s="170"/>
      <c r="R129" s="170"/>
      <c r="S129" s="171">
        <f t="shared" si="5"/>
        <v>4234</v>
      </c>
      <c r="T129" s="173">
        <f t="shared" si="6"/>
        <v>8468</v>
      </c>
      <c r="U129" s="170"/>
      <c r="V129" s="170"/>
      <c r="W129" s="171">
        <f t="shared" si="7"/>
        <v>8468</v>
      </c>
    </row>
    <row r="130" spans="1:23" ht="43.5">
      <c r="A130" s="321" t="s">
        <v>7</v>
      </c>
      <c r="B130" s="270" t="s">
        <v>1281</v>
      </c>
      <c r="C130" s="270" t="s">
        <v>304</v>
      </c>
      <c r="D130" s="271" t="s">
        <v>204</v>
      </c>
      <c r="E130" s="52"/>
      <c r="F130" s="45" t="s">
        <v>159</v>
      </c>
      <c r="G130" s="30" t="s">
        <v>158</v>
      </c>
      <c r="H130" s="579" t="s">
        <v>1695</v>
      </c>
      <c r="I130" s="271">
        <v>90695804</v>
      </c>
      <c r="J130" s="367" t="s">
        <v>149</v>
      </c>
      <c r="K130" s="650">
        <v>20</v>
      </c>
      <c r="L130" s="173">
        <f>200536-160056</f>
        <v>40480</v>
      </c>
      <c r="M130" s="170"/>
      <c r="N130" s="170"/>
      <c r="O130" s="171">
        <f t="shared" si="4"/>
        <v>40480</v>
      </c>
      <c r="P130" s="173">
        <f>200536-160056</f>
        <v>40480</v>
      </c>
      <c r="Q130" s="170"/>
      <c r="R130" s="170"/>
      <c r="S130" s="171">
        <f t="shared" si="5"/>
        <v>40480</v>
      </c>
      <c r="T130" s="173">
        <f t="shared" si="6"/>
        <v>80960</v>
      </c>
      <c r="U130" s="170"/>
      <c r="V130" s="170"/>
      <c r="W130" s="171">
        <f t="shared" si="7"/>
        <v>80960</v>
      </c>
    </row>
    <row r="131" spans="1:23" ht="28.5">
      <c r="A131" s="234" t="s">
        <v>7</v>
      </c>
      <c r="B131" s="270" t="s">
        <v>1700</v>
      </c>
      <c r="C131" s="647" t="s">
        <v>338</v>
      </c>
      <c r="D131" s="270" t="s">
        <v>2021</v>
      </c>
      <c r="E131" s="648"/>
      <c r="F131" s="57" t="s">
        <v>159</v>
      </c>
      <c r="G131" s="266" t="s">
        <v>158</v>
      </c>
      <c r="H131" s="302" t="s">
        <v>1754</v>
      </c>
      <c r="I131" s="265">
        <v>1398832</v>
      </c>
      <c r="J131" s="267" t="s">
        <v>149</v>
      </c>
      <c r="K131" s="549">
        <v>2</v>
      </c>
      <c r="L131" s="28">
        <f>33248-26811</f>
        <v>6437</v>
      </c>
      <c r="M131" s="170"/>
      <c r="N131" s="170"/>
      <c r="O131" s="171">
        <f t="shared" si="4"/>
        <v>6437</v>
      </c>
      <c r="P131" s="28">
        <f>33248-26811</f>
        <v>6437</v>
      </c>
      <c r="Q131" s="170"/>
      <c r="R131" s="170"/>
      <c r="S131" s="171">
        <f t="shared" si="5"/>
        <v>6437</v>
      </c>
      <c r="T131" s="173">
        <f t="shared" si="6"/>
        <v>12874</v>
      </c>
      <c r="U131" s="170"/>
      <c r="V131" s="170"/>
      <c r="W131" s="171">
        <f t="shared" si="7"/>
        <v>12874</v>
      </c>
    </row>
    <row r="132" spans="1:23" ht="28.5">
      <c r="A132" s="234" t="s">
        <v>7</v>
      </c>
      <c r="B132" s="270" t="s">
        <v>1700</v>
      </c>
      <c r="C132" s="647" t="s">
        <v>301</v>
      </c>
      <c r="D132" s="648"/>
      <c r="E132" s="648"/>
      <c r="F132" s="648" t="s">
        <v>159</v>
      </c>
      <c r="G132" s="266" t="s">
        <v>158</v>
      </c>
      <c r="H132" s="302" t="s">
        <v>1756</v>
      </c>
      <c r="I132" s="265">
        <v>83426545</v>
      </c>
      <c r="J132" s="267" t="s">
        <v>149</v>
      </c>
      <c r="K132" s="549">
        <v>3</v>
      </c>
      <c r="L132" s="545">
        <f>15145-11865</f>
        <v>3280</v>
      </c>
      <c r="M132" s="170"/>
      <c r="N132" s="170"/>
      <c r="O132" s="171">
        <f t="shared" si="4"/>
        <v>3280</v>
      </c>
      <c r="P132" s="545">
        <f>15145-11865</f>
        <v>3280</v>
      </c>
      <c r="Q132" s="170"/>
      <c r="R132" s="170"/>
      <c r="S132" s="171">
        <f t="shared" si="5"/>
        <v>3280</v>
      </c>
      <c r="T132" s="173">
        <f t="shared" si="6"/>
        <v>6560</v>
      </c>
      <c r="U132" s="170"/>
      <c r="V132" s="170"/>
      <c r="W132" s="171">
        <f t="shared" si="7"/>
        <v>6560</v>
      </c>
    </row>
    <row r="133" spans="1:23" ht="28.5">
      <c r="A133" s="234" t="s">
        <v>7</v>
      </c>
      <c r="B133" s="270" t="s">
        <v>1700</v>
      </c>
      <c r="C133" s="647" t="s">
        <v>329</v>
      </c>
      <c r="D133" s="648" t="s">
        <v>132</v>
      </c>
      <c r="E133" s="648"/>
      <c r="F133" s="57" t="s">
        <v>159</v>
      </c>
      <c r="G133" s="266" t="s">
        <v>158</v>
      </c>
      <c r="H133" s="302" t="s">
        <v>1758</v>
      </c>
      <c r="I133" s="265">
        <v>1382666</v>
      </c>
      <c r="J133" s="267" t="s">
        <v>149</v>
      </c>
      <c r="K133" s="549">
        <v>3</v>
      </c>
      <c r="L133" s="545">
        <f>7149-6166</f>
        <v>983</v>
      </c>
      <c r="M133" s="170"/>
      <c r="N133" s="170"/>
      <c r="O133" s="171">
        <f t="shared" si="4"/>
        <v>983</v>
      </c>
      <c r="P133" s="545">
        <f>7149-6166</f>
        <v>983</v>
      </c>
      <c r="Q133" s="170"/>
      <c r="R133" s="170"/>
      <c r="S133" s="171">
        <f t="shared" si="5"/>
        <v>983</v>
      </c>
      <c r="T133" s="173">
        <f t="shared" si="6"/>
        <v>1966</v>
      </c>
      <c r="U133" s="170"/>
      <c r="V133" s="170"/>
      <c r="W133" s="171">
        <f t="shared" si="7"/>
        <v>1966</v>
      </c>
    </row>
    <row r="134" spans="1:23" ht="28.5">
      <c r="A134" s="234" t="s">
        <v>7</v>
      </c>
      <c r="B134" s="270" t="s">
        <v>1700</v>
      </c>
      <c r="C134" s="647" t="s">
        <v>354</v>
      </c>
      <c r="D134" s="648"/>
      <c r="E134" s="648"/>
      <c r="F134" s="648" t="s">
        <v>159</v>
      </c>
      <c r="G134" s="266" t="s">
        <v>158</v>
      </c>
      <c r="H134" s="302" t="s">
        <v>1755</v>
      </c>
      <c r="I134" s="265">
        <v>83426426</v>
      </c>
      <c r="J134" s="267" t="s">
        <v>149</v>
      </c>
      <c r="K134" s="549">
        <v>3</v>
      </c>
      <c r="L134" s="545">
        <f>18082-14571</f>
        <v>3511</v>
      </c>
      <c r="M134" s="170"/>
      <c r="N134" s="170"/>
      <c r="O134" s="171">
        <f t="shared" si="4"/>
        <v>3511</v>
      </c>
      <c r="P134" s="545">
        <f>18082-14571</f>
        <v>3511</v>
      </c>
      <c r="Q134" s="170"/>
      <c r="R134" s="170"/>
      <c r="S134" s="171">
        <f t="shared" si="5"/>
        <v>3511</v>
      </c>
      <c r="T134" s="173">
        <f t="shared" si="6"/>
        <v>7022</v>
      </c>
      <c r="U134" s="170"/>
      <c r="V134" s="170"/>
      <c r="W134" s="171">
        <f t="shared" si="7"/>
        <v>7022</v>
      </c>
    </row>
    <row r="135" spans="1:23" ht="28.5">
      <c r="A135" s="234" t="s">
        <v>7</v>
      </c>
      <c r="B135" s="270" t="s">
        <v>1700</v>
      </c>
      <c r="C135" s="647" t="s">
        <v>1701</v>
      </c>
      <c r="D135" s="648"/>
      <c r="E135" s="648"/>
      <c r="F135" s="648" t="s">
        <v>159</v>
      </c>
      <c r="G135" s="266" t="s">
        <v>158</v>
      </c>
      <c r="H135" s="302" t="s">
        <v>1759</v>
      </c>
      <c r="I135" s="265">
        <v>83247291</v>
      </c>
      <c r="J135" s="267" t="s">
        <v>149</v>
      </c>
      <c r="K135" s="549">
        <v>5</v>
      </c>
      <c r="L135" s="545">
        <f>40001-30708</f>
        <v>9293</v>
      </c>
      <c r="M135" s="170"/>
      <c r="N135" s="170"/>
      <c r="O135" s="171">
        <f t="shared" si="4"/>
        <v>9293</v>
      </c>
      <c r="P135" s="545">
        <f>40001-30708</f>
        <v>9293</v>
      </c>
      <c r="Q135" s="170"/>
      <c r="R135" s="170"/>
      <c r="S135" s="171">
        <f t="shared" si="5"/>
        <v>9293</v>
      </c>
      <c r="T135" s="173">
        <f t="shared" si="6"/>
        <v>18586</v>
      </c>
      <c r="U135" s="170"/>
      <c r="V135" s="170"/>
      <c r="W135" s="171">
        <f t="shared" si="7"/>
        <v>18586</v>
      </c>
    </row>
    <row r="136" spans="1:23" ht="28.5">
      <c r="A136" s="234" t="s">
        <v>7</v>
      </c>
      <c r="B136" s="270" t="s">
        <v>1700</v>
      </c>
      <c r="C136" s="647" t="s">
        <v>303</v>
      </c>
      <c r="D136" s="648"/>
      <c r="E136" s="648"/>
      <c r="F136" s="648" t="s">
        <v>159</v>
      </c>
      <c r="G136" s="266" t="s">
        <v>158</v>
      </c>
      <c r="H136" s="302" t="s">
        <v>1757</v>
      </c>
      <c r="I136" s="265">
        <v>83426009</v>
      </c>
      <c r="J136" s="267" t="s">
        <v>149</v>
      </c>
      <c r="K136" s="549">
        <v>1</v>
      </c>
      <c r="L136" s="545">
        <f>25616-20220</f>
        <v>5396</v>
      </c>
      <c r="M136" s="170"/>
      <c r="N136" s="170"/>
      <c r="O136" s="171">
        <f t="shared" si="4"/>
        <v>5396</v>
      </c>
      <c r="P136" s="545">
        <f>25616-20220</f>
        <v>5396</v>
      </c>
      <c r="Q136" s="170"/>
      <c r="R136" s="170"/>
      <c r="S136" s="171">
        <f t="shared" si="5"/>
        <v>5396</v>
      </c>
      <c r="T136" s="173">
        <f t="shared" si="6"/>
        <v>10792</v>
      </c>
      <c r="U136" s="170"/>
      <c r="V136" s="170"/>
      <c r="W136" s="171">
        <f t="shared" si="7"/>
        <v>10792</v>
      </c>
    </row>
    <row r="137" spans="1:23" ht="29.25">
      <c r="A137" s="234" t="s">
        <v>7</v>
      </c>
      <c r="B137" s="30" t="s">
        <v>8</v>
      </c>
      <c r="C137" s="30" t="s">
        <v>344</v>
      </c>
      <c r="D137" s="30" t="s">
        <v>186</v>
      </c>
      <c r="E137" s="30"/>
      <c r="F137" s="45" t="s">
        <v>159</v>
      </c>
      <c r="G137" s="25" t="s">
        <v>158</v>
      </c>
      <c r="H137" s="578" t="s">
        <v>1884</v>
      </c>
      <c r="I137" s="42">
        <v>1441106</v>
      </c>
      <c r="J137" s="138" t="s">
        <v>149</v>
      </c>
      <c r="K137" s="548">
        <v>1.1</v>
      </c>
      <c r="L137" s="28">
        <f>56009-42433</f>
        <v>13576</v>
      </c>
      <c r="M137" s="170"/>
      <c r="N137" s="170"/>
      <c r="O137" s="171">
        <f t="shared" si="4"/>
        <v>13576</v>
      </c>
      <c r="P137" s="28">
        <f>56009-42433</f>
        <v>13576</v>
      </c>
      <c r="Q137" s="170"/>
      <c r="R137" s="170"/>
      <c r="S137" s="171">
        <f t="shared" si="5"/>
        <v>13576</v>
      </c>
      <c r="T137" s="173">
        <f t="shared" si="6"/>
        <v>27152</v>
      </c>
      <c r="U137" s="170"/>
      <c r="V137" s="170"/>
      <c r="W137" s="171">
        <f t="shared" si="7"/>
        <v>27152</v>
      </c>
    </row>
    <row r="138" spans="1:23" ht="29.25">
      <c r="A138" s="234" t="s">
        <v>7</v>
      </c>
      <c r="B138" s="30" t="s">
        <v>8</v>
      </c>
      <c r="C138" s="30" t="s">
        <v>309</v>
      </c>
      <c r="D138" s="30"/>
      <c r="E138" s="30"/>
      <c r="F138" s="45" t="s">
        <v>159</v>
      </c>
      <c r="G138" s="25" t="s">
        <v>158</v>
      </c>
      <c r="H138" s="578" t="s">
        <v>1890</v>
      </c>
      <c r="I138" s="42">
        <v>1503043</v>
      </c>
      <c r="J138" s="138" t="s">
        <v>149</v>
      </c>
      <c r="K138" s="548">
        <v>1.1</v>
      </c>
      <c r="L138" s="28">
        <f>28526-20807</f>
        <v>7719</v>
      </c>
      <c r="M138" s="170"/>
      <c r="N138" s="170"/>
      <c r="O138" s="171">
        <f t="shared" si="4"/>
        <v>7719</v>
      </c>
      <c r="P138" s="28">
        <f>28526-20807</f>
        <v>7719</v>
      </c>
      <c r="Q138" s="170"/>
      <c r="R138" s="170"/>
      <c r="S138" s="171">
        <f t="shared" si="5"/>
        <v>7719</v>
      </c>
      <c r="T138" s="173">
        <f t="shared" si="6"/>
        <v>15438</v>
      </c>
      <c r="U138" s="170"/>
      <c r="V138" s="170"/>
      <c r="W138" s="171">
        <f t="shared" si="7"/>
        <v>15438</v>
      </c>
    </row>
    <row r="139" spans="1:23" ht="29.25">
      <c r="A139" s="234" t="s">
        <v>7</v>
      </c>
      <c r="B139" s="30" t="s">
        <v>8</v>
      </c>
      <c r="C139" s="30" t="s">
        <v>309</v>
      </c>
      <c r="D139" s="30" t="s">
        <v>490</v>
      </c>
      <c r="E139" s="30"/>
      <c r="F139" s="45" t="s">
        <v>159</v>
      </c>
      <c r="G139" s="25" t="s">
        <v>158</v>
      </c>
      <c r="H139" s="578" t="s">
        <v>1885</v>
      </c>
      <c r="I139" s="42">
        <v>1502946</v>
      </c>
      <c r="J139" s="138" t="s">
        <v>149</v>
      </c>
      <c r="K139" s="548">
        <v>3</v>
      </c>
      <c r="L139" s="28">
        <f>12324-8714</f>
        <v>3610</v>
      </c>
      <c r="M139" s="170"/>
      <c r="N139" s="170"/>
      <c r="O139" s="171">
        <f t="shared" si="4"/>
        <v>3610</v>
      </c>
      <c r="P139" s="28">
        <f>12324-8714</f>
        <v>3610</v>
      </c>
      <c r="Q139" s="170"/>
      <c r="R139" s="170"/>
      <c r="S139" s="171">
        <f t="shared" si="5"/>
        <v>3610</v>
      </c>
      <c r="T139" s="173">
        <f t="shared" si="6"/>
        <v>7220</v>
      </c>
      <c r="U139" s="170"/>
      <c r="V139" s="170"/>
      <c r="W139" s="171">
        <f t="shared" si="7"/>
        <v>7220</v>
      </c>
    </row>
    <row r="140" spans="1:23" ht="29.25">
      <c r="A140" s="321" t="s">
        <v>7</v>
      </c>
      <c r="B140" s="30" t="s">
        <v>8</v>
      </c>
      <c r="C140" s="30" t="s">
        <v>309</v>
      </c>
      <c r="D140" s="30"/>
      <c r="E140" s="30"/>
      <c r="F140" s="45" t="s">
        <v>159</v>
      </c>
      <c r="G140" s="30" t="s">
        <v>158</v>
      </c>
      <c r="H140" s="579" t="s">
        <v>1889</v>
      </c>
      <c r="I140" s="45">
        <v>83953689</v>
      </c>
      <c r="J140" s="367" t="s">
        <v>149</v>
      </c>
      <c r="K140" s="547">
        <v>0.2</v>
      </c>
      <c r="L140" s="142">
        <f>6677-4304</f>
        <v>2373</v>
      </c>
      <c r="M140" s="366"/>
      <c r="N140" s="366"/>
      <c r="O140" s="171">
        <f t="shared" si="4"/>
        <v>2373</v>
      </c>
      <c r="P140" s="142">
        <f>6677-4304</f>
        <v>2373</v>
      </c>
      <c r="Q140" s="366"/>
      <c r="R140" s="366"/>
      <c r="S140" s="171">
        <f t="shared" si="5"/>
        <v>2373</v>
      </c>
      <c r="T140" s="173">
        <f t="shared" si="6"/>
        <v>4746</v>
      </c>
      <c r="U140" s="366"/>
      <c r="V140" s="366"/>
      <c r="W140" s="171">
        <f t="shared" si="7"/>
        <v>4746</v>
      </c>
    </row>
    <row r="141" spans="1:23" ht="29.25">
      <c r="A141" s="234" t="s">
        <v>7</v>
      </c>
      <c r="B141" s="25" t="s">
        <v>8</v>
      </c>
      <c r="C141" s="25" t="s">
        <v>304</v>
      </c>
      <c r="D141" s="25" t="s">
        <v>1886</v>
      </c>
      <c r="E141" s="25"/>
      <c r="F141" s="45" t="s">
        <v>159</v>
      </c>
      <c r="G141" s="25" t="s">
        <v>158</v>
      </c>
      <c r="H141" s="578" t="s">
        <v>1888</v>
      </c>
      <c r="I141" s="42">
        <v>1442091</v>
      </c>
      <c r="J141" s="138" t="s">
        <v>149</v>
      </c>
      <c r="K141" s="548">
        <v>0.5</v>
      </c>
      <c r="L141" s="28">
        <f>6468-5353</f>
        <v>1115</v>
      </c>
      <c r="M141" s="170"/>
      <c r="N141" s="170"/>
      <c r="O141" s="171">
        <f t="shared" si="4"/>
        <v>1115</v>
      </c>
      <c r="P141" s="28">
        <f>6468-5353</f>
        <v>1115</v>
      </c>
      <c r="Q141" s="170"/>
      <c r="R141" s="170"/>
      <c r="S141" s="171">
        <f t="shared" si="5"/>
        <v>1115</v>
      </c>
      <c r="T141" s="173">
        <f t="shared" si="6"/>
        <v>2230</v>
      </c>
      <c r="U141" s="170"/>
      <c r="V141" s="170"/>
      <c r="W141" s="171">
        <f t="shared" si="7"/>
        <v>2230</v>
      </c>
    </row>
    <row r="142" spans="1:23" ht="29.25">
      <c r="A142" s="234" t="s">
        <v>7</v>
      </c>
      <c r="B142" s="25" t="s">
        <v>8</v>
      </c>
      <c r="C142" s="25" t="s">
        <v>309</v>
      </c>
      <c r="D142" s="25" t="s">
        <v>490</v>
      </c>
      <c r="E142" s="25"/>
      <c r="F142" s="45" t="s">
        <v>159</v>
      </c>
      <c r="G142" s="25" t="s">
        <v>158</v>
      </c>
      <c r="H142" s="578" t="s">
        <v>1897</v>
      </c>
      <c r="I142" s="42">
        <v>1403390</v>
      </c>
      <c r="J142" s="369" t="s">
        <v>149</v>
      </c>
      <c r="K142" s="548">
        <v>3</v>
      </c>
      <c r="L142" s="28">
        <f>35464-26903</f>
        <v>8561</v>
      </c>
      <c r="M142" s="170"/>
      <c r="N142" s="170"/>
      <c r="O142" s="171">
        <f t="shared" si="4"/>
        <v>8561</v>
      </c>
      <c r="P142" s="28">
        <f>35464-26903</f>
        <v>8561</v>
      </c>
      <c r="Q142" s="170"/>
      <c r="R142" s="170"/>
      <c r="S142" s="171">
        <f t="shared" si="5"/>
        <v>8561</v>
      </c>
      <c r="T142" s="173">
        <f t="shared" si="6"/>
        <v>17122</v>
      </c>
      <c r="U142" s="170"/>
      <c r="V142" s="170"/>
      <c r="W142" s="171">
        <f t="shared" si="7"/>
        <v>17122</v>
      </c>
    </row>
    <row r="143" spans="1:23" ht="29.25">
      <c r="A143" s="234" t="s">
        <v>7</v>
      </c>
      <c r="B143" s="25" t="s">
        <v>8</v>
      </c>
      <c r="C143" s="25" t="s">
        <v>304</v>
      </c>
      <c r="D143" s="25" t="s">
        <v>1886</v>
      </c>
      <c r="E143" s="25"/>
      <c r="F143" s="45" t="s">
        <v>159</v>
      </c>
      <c r="G143" s="30" t="s">
        <v>158</v>
      </c>
      <c r="H143" s="578" t="s">
        <v>1887</v>
      </c>
      <c r="I143" s="42">
        <v>1502949</v>
      </c>
      <c r="J143" s="138" t="s">
        <v>149</v>
      </c>
      <c r="K143" s="548">
        <v>0.3</v>
      </c>
      <c r="L143" s="28">
        <f>6662-5308</f>
        <v>1354</v>
      </c>
      <c r="M143" s="170"/>
      <c r="N143" s="170"/>
      <c r="O143" s="171">
        <f t="shared" si="4"/>
        <v>1354</v>
      </c>
      <c r="P143" s="28">
        <f>6662-5308</f>
        <v>1354</v>
      </c>
      <c r="Q143" s="170"/>
      <c r="R143" s="170"/>
      <c r="S143" s="171">
        <f t="shared" si="5"/>
        <v>1354</v>
      </c>
      <c r="T143" s="173">
        <f t="shared" si="6"/>
        <v>2708</v>
      </c>
      <c r="U143" s="170"/>
      <c r="V143" s="170"/>
      <c r="W143" s="171">
        <f t="shared" si="7"/>
        <v>2708</v>
      </c>
    </row>
    <row r="144" spans="1:23" ht="29.25">
      <c r="A144" s="234" t="s">
        <v>7</v>
      </c>
      <c r="B144" s="25" t="s">
        <v>8</v>
      </c>
      <c r="C144" s="25" t="s">
        <v>304</v>
      </c>
      <c r="D144" s="25" t="s">
        <v>326</v>
      </c>
      <c r="E144" s="25"/>
      <c r="F144" s="45" t="s">
        <v>159</v>
      </c>
      <c r="G144" s="25" t="s">
        <v>158</v>
      </c>
      <c r="H144" s="578" t="s">
        <v>1894</v>
      </c>
      <c r="I144" s="42">
        <v>1577794</v>
      </c>
      <c r="J144" s="369" t="s">
        <v>149</v>
      </c>
      <c r="K144" s="548">
        <v>2.3</v>
      </c>
      <c r="L144" s="28">
        <f>33986-25680</f>
        <v>8306</v>
      </c>
      <c r="M144" s="170"/>
      <c r="N144" s="170"/>
      <c r="O144" s="171">
        <f t="shared" si="4"/>
        <v>8306</v>
      </c>
      <c r="P144" s="28">
        <f>33986-25680</f>
        <v>8306</v>
      </c>
      <c r="Q144" s="170"/>
      <c r="R144" s="170"/>
      <c r="S144" s="171">
        <f t="shared" si="5"/>
        <v>8306</v>
      </c>
      <c r="T144" s="173">
        <f t="shared" si="6"/>
        <v>16612</v>
      </c>
      <c r="U144" s="170"/>
      <c r="V144" s="170"/>
      <c r="W144" s="171">
        <f t="shared" si="7"/>
        <v>16612</v>
      </c>
    </row>
    <row r="145" spans="1:23" ht="29.25">
      <c r="A145" s="234" t="s">
        <v>7</v>
      </c>
      <c r="B145" s="25" t="s">
        <v>8</v>
      </c>
      <c r="C145" s="25" t="s">
        <v>1892</v>
      </c>
      <c r="D145" s="25" t="s">
        <v>57</v>
      </c>
      <c r="E145" s="25"/>
      <c r="F145" s="42" t="s">
        <v>159</v>
      </c>
      <c r="G145" s="25" t="s">
        <v>158</v>
      </c>
      <c r="H145" s="578" t="s">
        <v>1896</v>
      </c>
      <c r="I145" s="42">
        <v>1403680</v>
      </c>
      <c r="J145" s="369" t="s">
        <v>149</v>
      </c>
      <c r="K145" s="548">
        <v>2</v>
      </c>
      <c r="L145" s="28">
        <f>18899-14345</f>
        <v>4554</v>
      </c>
      <c r="M145" s="170"/>
      <c r="N145" s="170"/>
      <c r="O145" s="171">
        <f t="shared" si="4"/>
        <v>4554</v>
      </c>
      <c r="P145" s="28">
        <f>18899-14345</f>
        <v>4554</v>
      </c>
      <c r="Q145" s="170"/>
      <c r="R145" s="170"/>
      <c r="S145" s="171">
        <f t="shared" si="5"/>
        <v>4554</v>
      </c>
      <c r="T145" s="173">
        <f t="shared" si="6"/>
        <v>9108</v>
      </c>
      <c r="U145" s="170"/>
      <c r="V145" s="170"/>
      <c r="W145" s="171">
        <f t="shared" si="7"/>
        <v>9108</v>
      </c>
    </row>
    <row r="146" spans="1:23" ht="29.25">
      <c r="A146" s="234" t="s">
        <v>7</v>
      </c>
      <c r="B146" s="25" t="s">
        <v>8</v>
      </c>
      <c r="C146" s="25" t="s">
        <v>293</v>
      </c>
      <c r="D146" s="25" t="s">
        <v>57</v>
      </c>
      <c r="E146" s="25"/>
      <c r="F146" s="42" t="s">
        <v>159</v>
      </c>
      <c r="G146" s="25" t="s">
        <v>158</v>
      </c>
      <c r="H146" s="578" t="s">
        <v>1895</v>
      </c>
      <c r="I146" s="42">
        <v>1494596</v>
      </c>
      <c r="J146" s="369" t="s">
        <v>149</v>
      </c>
      <c r="K146" s="548">
        <v>0.3</v>
      </c>
      <c r="L146" s="28">
        <f>9086-7308</f>
        <v>1778</v>
      </c>
      <c r="M146" s="170"/>
      <c r="N146" s="170"/>
      <c r="O146" s="171">
        <f t="shared" si="4"/>
        <v>1778</v>
      </c>
      <c r="P146" s="28">
        <f>9086-7308</f>
        <v>1778</v>
      </c>
      <c r="Q146" s="170"/>
      <c r="R146" s="170"/>
      <c r="S146" s="171">
        <f t="shared" si="5"/>
        <v>1778</v>
      </c>
      <c r="T146" s="173">
        <f t="shared" si="6"/>
        <v>3556</v>
      </c>
      <c r="U146" s="170"/>
      <c r="V146" s="170"/>
      <c r="W146" s="171">
        <f t="shared" si="7"/>
        <v>3556</v>
      </c>
    </row>
    <row r="147" spans="1:23" ht="29.25">
      <c r="A147" s="234" t="s">
        <v>7</v>
      </c>
      <c r="B147" s="25" t="s">
        <v>8</v>
      </c>
      <c r="C147" s="25" t="s">
        <v>320</v>
      </c>
      <c r="D147" s="25" t="s">
        <v>1667</v>
      </c>
      <c r="E147" s="25"/>
      <c r="F147" s="42" t="s">
        <v>159</v>
      </c>
      <c r="G147" s="25" t="s">
        <v>158</v>
      </c>
      <c r="H147" s="578" t="s">
        <v>1891</v>
      </c>
      <c r="I147" s="42">
        <v>1494593</v>
      </c>
      <c r="J147" s="138" t="s">
        <v>149</v>
      </c>
      <c r="K147" s="548">
        <v>2</v>
      </c>
      <c r="L147" s="28">
        <f>40766-30733</f>
        <v>10033</v>
      </c>
      <c r="M147" s="170"/>
      <c r="N147" s="170"/>
      <c r="O147" s="171">
        <f aca="true" t="shared" si="8" ref="O147:O162">L147</f>
        <v>10033</v>
      </c>
      <c r="P147" s="28">
        <f>40766-30733</f>
        <v>10033</v>
      </c>
      <c r="Q147" s="170"/>
      <c r="R147" s="170"/>
      <c r="S147" s="171">
        <f aca="true" t="shared" si="9" ref="S147:S162">P147</f>
        <v>10033</v>
      </c>
      <c r="T147" s="173">
        <f aca="true" t="shared" si="10" ref="T147:T165">O147+S147</f>
        <v>20066</v>
      </c>
      <c r="U147" s="170"/>
      <c r="V147" s="170"/>
      <c r="W147" s="171">
        <f aca="true" t="shared" si="11" ref="W147:W162">T147</f>
        <v>20066</v>
      </c>
    </row>
    <row r="148" spans="1:23" ht="29.25">
      <c r="A148" s="234" t="s">
        <v>7</v>
      </c>
      <c r="B148" s="25" t="s">
        <v>8</v>
      </c>
      <c r="C148" s="25" t="s">
        <v>1892</v>
      </c>
      <c r="D148" s="25" t="s">
        <v>57</v>
      </c>
      <c r="E148" s="25"/>
      <c r="F148" s="42" t="s">
        <v>159</v>
      </c>
      <c r="G148" s="25" t="s">
        <v>158</v>
      </c>
      <c r="H148" s="578" t="s">
        <v>1893</v>
      </c>
      <c r="I148" s="42">
        <v>83638305</v>
      </c>
      <c r="J148" s="138" t="s">
        <v>149</v>
      </c>
      <c r="K148" s="548">
        <v>0.5</v>
      </c>
      <c r="L148" s="28">
        <f>5108-3889</f>
        <v>1219</v>
      </c>
      <c r="M148" s="170"/>
      <c r="N148" s="170"/>
      <c r="O148" s="171">
        <f t="shared" si="8"/>
        <v>1219</v>
      </c>
      <c r="P148" s="28">
        <f>5108-3889</f>
        <v>1219</v>
      </c>
      <c r="Q148" s="170"/>
      <c r="R148" s="170"/>
      <c r="S148" s="171">
        <f t="shared" si="9"/>
        <v>1219</v>
      </c>
      <c r="T148" s="173">
        <f t="shared" si="10"/>
        <v>2438</v>
      </c>
      <c r="U148" s="170"/>
      <c r="V148" s="170"/>
      <c r="W148" s="171">
        <f t="shared" si="11"/>
        <v>2438</v>
      </c>
    </row>
    <row r="149" spans="1:23" ht="29.25">
      <c r="A149" s="234" t="s">
        <v>7</v>
      </c>
      <c r="B149" s="21" t="s">
        <v>8</v>
      </c>
      <c r="C149" s="21" t="s">
        <v>353</v>
      </c>
      <c r="D149" s="21"/>
      <c r="E149" s="21"/>
      <c r="F149" s="40" t="s">
        <v>159</v>
      </c>
      <c r="G149" s="21" t="s">
        <v>158</v>
      </c>
      <c r="H149" s="578" t="s">
        <v>1898</v>
      </c>
      <c r="I149" s="40">
        <v>83638354</v>
      </c>
      <c r="J149" s="369" t="s">
        <v>149</v>
      </c>
      <c r="K149" s="651">
        <v>1</v>
      </c>
      <c r="L149" s="28">
        <f>14366-10629</f>
        <v>3737</v>
      </c>
      <c r="M149" s="170"/>
      <c r="N149" s="170"/>
      <c r="O149" s="171">
        <f t="shared" si="8"/>
        <v>3737</v>
      </c>
      <c r="P149" s="28">
        <f>14366-10629</f>
        <v>3737</v>
      </c>
      <c r="Q149" s="170"/>
      <c r="R149" s="170"/>
      <c r="S149" s="171">
        <f t="shared" si="9"/>
        <v>3737</v>
      </c>
      <c r="T149" s="173">
        <f t="shared" si="10"/>
        <v>7474</v>
      </c>
      <c r="U149" s="170"/>
      <c r="V149" s="170"/>
      <c r="W149" s="171">
        <f t="shared" si="11"/>
        <v>7474</v>
      </c>
    </row>
    <row r="150" spans="1:23" ht="57.75">
      <c r="A150" s="234" t="s">
        <v>7</v>
      </c>
      <c r="B150" s="25" t="s">
        <v>8</v>
      </c>
      <c r="C150" s="25" t="s">
        <v>293</v>
      </c>
      <c r="D150" s="25"/>
      <c r="E150" s="25" t="s">
        <v>1899</v>
      </c>
      <c r="F150" s="42" t="s">
        <v>159</v>
      </c>
      <c r="G150" s="25" t="s">
        <v>158</v>
      </c>
      <c r="H150" s="578" t="s">
        <v>1900</v>
      </c>
      <c r="I150" s="42">
        <v>83746675</v>
      </c>
      <c r="J150" s="369" t="s">
        <v>149</v>
      </c>
      <c r="K150" s="548">
        <v>3</v>
      </c>
      <c r="L150" s="28">
        <f>7310-5402</f>
        <v>1908</v>
      </c>
      <c r="M150" s="170"/>
      <c r="N150" s="170"/>
      <c r="O150" s="171">
        <f t="shared" si="8"/>
        <v>1908</v>
      </c>
      <c r="P150" s="28">
        <f>7310-5402</f>
        <v>1908</v>
      </c>
      <c r="Q150" s="170"/>
      <c r="R150" s="170"/>
      <c r="S150" s="171">
        <f t="shared" si="9"/>
        <v>1908</v>
      </c>
      <c r="T150" s="173">
        <f t="shared" si="10"/>
        <v>3816</v>
      </c>
      <c r="U150" s="170"/>
      <c r="V150" s="170"/>
      <c r="W150" s="171">
        <f t="shared" si="11"/>
        <v>3816</v>
      </c>
    </row>
    <row r="151" spans="1:23" ht="28.5">
      <c r="A151" s="234" t="s">
        <v>7</v>
      </c>
      <c r="B151" s="158" t="s">
        <v>1700</v>
      </c>
      <c r="C151" s="238" t="s">
        <v>355</v>
      </c>
      <c r="D151" s="57"/>
      <c r="E151" s="57"/>
      <c r="F151" s="57" t="s">
        <v>159</v>
      </c>
      <c r="G151" s="266" t="s">
        <v>158</v>
      </c>
      <c r="H151" s="302" t="s">
        <v>2011</v>
      </c>
      <c r="I151" s="265">
        <v>83638307</v>
      </c>
      <c r="J151" s="267" t="s">
        <v>149</v>
      </c>
      <c r="K151" s="549">
        <v>0.8</v>
      </c>
      <c r="L151" s="545">
        <f>18586-13753</f>
        <v>4833</v>
      </c>
      <c r="M151" s="170"/>
      <c r="N151" s="170"/>
      <c r="O151" s="171">
        <f t="shared" si="8"/>
        <v>4833</v>
      </c>
      <c r="P151" s="545">
        <f>18586-13753</f>
        <v>4833</v>
      </c>
      <c r="Q151" s="170"/>
      <c r="R151" s="170"/>
      <c r="S151" s="171">
        <f t="shared" si="9"/>
        <v>4833</v>
      </c>
      <c r="T151" s="173">
        <f t="shared" si="10"/>
        <v>9666</v>
      </c>
      <c r="U151" s="170"/>
      <c r="V151" s="170"/>
      <c r="W151" s="171">
        <f t="shared" si="11"/>
        <v>9666</v>
      </c>
    </row>
    <row r="152" spans="1:23" ht="28.5">
      <c r="A152" s="234" t="s">
        <v>7</v>
      </c>
      <c r="B152" s="158" t="s">
        <v>1700</v>
      </c>
      <c r="C152" s="238" t="s">
        <v>2012</v>
      </c>
      <c r="D152" s="57"/>
      <c r="E152" s="57"/>
      <c r="F152" s="57" t="s">
        <v>159</v>
      </c>
      <c r="G152" s="266" t="s">
        <v>158</v>
      </c>
      <c r="H152" s="302" t="s">
        <v>2013</v>
      </c>
      <c r="I152" s="265">
        <v>83638352</v>
      </c>
      <c r="J152" s="267" t="s">
        <v>149</v>
      </c>
      <c r="K152" s="549">
        <v>0.2</v>
      </c>
      <c r="L152" s="545">
        <f>2895-1982</f>
        <v>913</v>
      </c>
      <c r="M152" s="170"/>
      <c r="N152" s="170"/>
      <c r="O152" s="171">
        <f t="shared" si="8"/>
        <v>913</v>
      </c>
      <c r="P152" s="545">
        <f>2895-1982</f>
        <v>913</v>
      </c>
      <c r="Q152" s="170"/>
      <c r="R152" s="170"/>
      <c r="S152" s="171">
        <f t="shared" si="9"/>
        <v>913</v>
      </c>
      <c r="T152" s="173">
        <f t="shared" si="10"/>
        <v>1826</v>
      </c>
      <c r="U152" s="170"/>
      <c r="V152" s="170"/>
      <c r="W152" s="171">
        <f t="shared" si="11"/>
        <v>1826</v>
      </c>
    </row>
    <row r="153" spans="1:23" ht="28.5">
      <c r="A153" s="234" t="s">
        <v>7</v>
      </c>
      <c r="B153" s="158" t="s">
        <v>1700</v>
      </c>
      <c r="C153" s="238" t="s">
        <v>320</v>
      </c>
      <c r="D153" s="57" t="s">
        <v>2015</v>
      </c>
      <c r="E153" s="57"/>
      <c r="F153" s="57" t="s">
        <v>159</v>
      </c>
      <c r="G153" s="266" t="s">
        <v>158</v>
      </c>
      <c r="H153" s="302" t="s">
        <v>2016</v>
      </c>
      <c r="I153" s="265">
        <v>83699116</v>
      </c>
      <c r="J153" s="267" t="s">
        <v>149</v>
      </c>
      <c r="K153" s="549">
        <v>0.7</v>
      </c>
      <c r="L153" s="545">
        <f>5044-3473</f>
        <v>1571</v>
      </c>
      <c r="M153" s="170"/>
      <c r="N153" s="170"/>
      <c r="O153" s="171">
        <f t="shared" si="8"/>
        <v>1571</v>
      </c>
      <c r="P153" s="545">
        <f>5044-3473</f>
        <v>1571</v>
      </c>
      <c r="Q153" s="170"/>
      <c r="R153" s="170"/>
      <c r="S153" s="171">
        <f t="shared" si="9"/>
        <v>1571</v>
      </c>
      <c r="T153" s="173">
        <f t="shared" si="10"/>
        <v>3142</v>
      </c>
      <c r="U153" s="170"/>
      <c r="V153" s="170"/>
      <c r="W153" s="171">
        <f t="shared" si="11"/>
        <v>3142</v>
      </c>
    </row>
    <row r="154" spans="1:23" ht="28.5">
      <c r="A154" s="234" t="s">
        <v>7</v>
      </c>
      <c r="B154" s="158" t="s">
        <v>1700</v>
      </c>
      <c r="C154" s="238" t="s">
        <v>297</v>
      </c>
      <c r="D154" s="57"/>
      <c r="E154" s="57"/>
      <c r="F154" s="57" t="s">
        <v>159</v>
      </c>
      <c r="G154" s="266" t="s">
        <v>158</v>
      </c>
      <c r="H154" s="302" t="s">
        <v>2017</v>
      </c>
      <c r="I154" s="265">
        <v>83953227</v>
      </c>
      <c r="J154" s="267" t="s">
        <v>149</v>
      </c>
      <c r="K154" s="549">
        <v>0.5</v>
      </c>
      <c r="L154" s="545">
        <f>7996-5276</f>
        <v>2720</v>
      </c>
      <c r="M154" s="170"/>
      <c r="N154" s="170"/>
      <c r="O154" s="171">
        <f t="shared" si="8"/>
        <v>2720</v>
      </c>
      <c r="P154" s="545">
        <f>7996-5276</f>
        <v>2720</v>
      </c>
      <c r="Q154" s="170"/>
      <c r="R154" s="170"/>
      <c r="S154" s="171">
        <f t="shared" si="9"/>
        <v>2720</v>
      </c>
      <c r="T154" s="173">
        <f t="shared" si="10"/>
        <v>5440</v>
      </c>
      <c r="U154" s="170"/>
      <c r="V154" s="170"/>
      <c r="W154" s="171">
        <f t="shared" si="11"/>
        <v>5440</v>
      </c>
    </row>
    <row r="155" spans="1:23" ht="28.5">
      <c r="A155" s="234" t="s">
        <v>7</v>
      </c>
      <c r="B155" s="158" t="s">
        <v>1700</v>
      </c>
      <c r="C155" s="238" t="s">
        <v>312</v>
      </c>
      <c r="D155" s="57"/>
      <c r="E155" s="57"/>
      <c r="F155" s="57" t="s">
        <v>159</v>
      </c>
      <c r="G155" s="266" t="s">
        <v>158</v>
      </c>
      <c r="H155" s="302" t="s">
        <v>2014</v>
      </c>
      <c r="I155" s="265">
        <v>83669165</v>
      </c>
      <c r="J155" s="267" t="s">
        <v>149</v>
      </c>
      <c r="K155" s="549">
        <v>0.5</v>
      </c>
      <c r="L155" s="545">
        <f>6216-4156</f>
        <v>2060</v>
      </c>
      <c r="M155" s="170"/>
      <c r="N155" s="170"/>
      <c r="O155" s="171">
        <f t="shared" si="8"/>
        <v>2060</v>
      </c>
      <c r="P155" s="545">
        <f>6216-4156</f>
        <v>2060</v>
      </c>
      <c r="Q155" s="170"/>
      <c r="R155" s="170"/>
      <c r="S155" s="171">
        <f t="shared" si="9"/>
        <v>2060</v>
      </c>
      <c r="T155" s="173">
        <f t="shared" si="10"/>
        <v>4120</v>
      </c>
      <c r="U155" s="170"/>
      <c r="V155" s="170"/>
      <c r="W155" s="171">
        <f t="shared" si="11"/>
        <v>4120</v>
      </c>
    </row>
    <row r="156" spans="1:23" ht="28.5">
      <c r="A156" s="234" t="s">
        <v>7</v>
      </c>
      <c r="B156" s="158" t="s">
        <v>1700</v>
      </c>
      <c r="C156" s="238" t="s">
        <v>324</v>
      </c>
      <c r="D156" s="57" t="s">
        <v>2018</v>
      </c>
      <c r="E156" s="57"/>
      <c r="F156" s="57" t="s">
        <v>159</v>
      </c>
      <c r="G156" s="266" t="s">
        <v>158</v>
      </c>
      <c r="H156" s="302" t="s">
        <v>2019</v>
      </c>
      <c r="I156" s="265">
        <v>83698454</v>
      </c>
      <c r="J156" s="267" t="s">
        <v>149</v>
      </c>
      <c r="K156" s="549">
        <v>0.5</v>
      </c>
      <c r="L156" s="545">
        <f>3422-2323</f>
        <v>1099</v>
      </c>
      <c r="M156" s="170"/>
      <c r="N156" s="170"/>
      <c r="O156" s="171">
        <f t="shared" si="8"/>
        <v>1099</v>
      </c>
      <c r="P156" s="545">
        <f>3422-2323</f>
        <v>1099</v>
      </c>
      <c r="Q156" s="170"/>
      <c r="R156" s="170"/>
      <c r="S156" s="171">
        <f t="shared" si="9"/>
        <v>1099</v>
      </c>
      <c r="T156" s="173">
        <f t="shared" si="10"/>
        <v>2198</v>
      </c>
      <c r="U156" s="170"/>
      <c r="V156" s="170"/>
      <c r="W156" s="171">
        <f t="shared" si="11"/>
        <v>2198</v>
      </c>
    </row>
    <row r="157" spans="1:23" ht="28.5">
      <c r="A157" s="234" t="s">
        <v>7</v>
      </c>
      <c r="B157" s="158" t="s">
        <v>1700</v>
      </c>
      <c r="C157" s="238" t="s">
        <v>2077</v>
      </c>
      <c r="D157" s="57" t="s">
        <v>204</v>
      </c>
      <c r="E157" s="57"/>
      <c r="F157" s="57" t="s">
        <v>159</v>
      </c>
      <c r="G157" s="266" t="s">
        <v>158</v>
      </c>
      <c r="H157" s="302" t="s">
        <v>2078</v>
      </c>
      <c r="I157" s="265">
        <v>90113953</v>
      </c>
      <c r="J157" s="267" t="s">
        <v>149</v>
      </c>
      <c r="K157" s="549">
        <v>2.5</v>
      </c>
      <c r="L157" s="545">
        <f>9070-5935</f>
        <v>3135</v>
      </c>
      <c r="M157" s="170"/>
      <c r="N157" s="170"/>
      <c r="O157" s="171">
        <f t="shared" si="8"/>
        <v>3135</v>
      </c>
      <c r="P157" s="545">
        <f>9070-5935</f>
        <v>3135</v>
      </c>
      <c r="Q157" s="170"/>
      <c r="R157" s="170"/>
      <c r="S157" s="171">
        <f t="shared" si="9"/>
        <v>3135</v>
      </c>
      <c r="T157" s="173">
        <f t="shared" si="10"/>
        <v>6270</v>
      </c>
      <c r="U157" s="170"/>
      <c r="V157" s="170"/>
      <c r="W157" s="171">
        <f t="shared" si="11"/>
        <v>6270</v>
      </c>
    </row>
    <row r="158" spans="1:23" ht="28.5">
      <c r="A158" s="234" t="s">
        <v>7</v>
      </c>
      <c r="B158" s="158" t="s">
        <v>1700</v>
      </c>
      <c r="C158" s="238" t="s">
        <v>296</v>
      </c>
      <c r="D158" s="57"/>
      <c r="E158" s="57"/>
      <c r="F158" s="57" t="s">
        <v>159</v>
      </c>
      <c r="G158" s="266" t="s">
        <v>158</v>
      </c>
      <c r="H158" s="302" t="s">
        <v>2076</v>
      </c>
      <c r="I158" s="265">
        <v>89013160</v>
      </c>
      <c r="J158" s="267" t="s">
        <v>149</v>
      </c>
      <c r="K158" s="549">
        <v>1</v>
      </c>
      <c r="L158" s="545">
        <f>1920-927</f>
        <v>993</v>
      </c>
      <c r="M158" s="170"/>
      <c r="N158" s="170"/>
      <c r="O158" s="171">
        <f t="shared" si="8"/>
        <v>993</v>
      </c>
      <c r="P158" s="545">
        <f>1920-927</f>
        <v>993</v>
      </c>
      <c r="Q158" s="170"/>
      <c r="R158" s="170"/>
      <c r="S158" s="171">
        <f t="shared" si="9"/>
        <v>993</v>
      </c>
      <c r="T158" s="173">
        <f t="shared" si="10"/>
        <v>1986</v>
      </c>
      <c r="U158" s="170"/>
      <c r="V158" s="170"/>
      <c r="W158" s="171">
        <f t="shared" si="11"/>
        <v>1986</v>
      </c>
    </row>
    <row r="159" spans="1:23" ht="28.5">
      <c r="A159" s="234" t="s">
        <v>7</v>
      </c>
      <c r="B159" s="158" t="s">
        <v>1700</v>
      </c>
      <c r="C159" s="238" t="s">
        <v>2149</v>
      </c>
      <c r="D159" s="57" t="s">
        <v>352</v>
      </c>
      <c r="E159" s="57"/>
      <c r="F159" s="57" t="s">
        <v>159</v>
      </c>
      <c r="G159" s="266" t="s">
        <v>158</v>
      </c>
      <c r="H159" s="302" t="s">
        <v>2150</v>
      </c>
      <c r="I159" s="265">
        <v>89012923</v>
      </c>
      <c r="J159" s="267" t="s">
        <v>149</v>
      </c>
      <c r="K159" s="549">
        <v>2</v>
      </c>
      <c r="L159" s="545">
        <f>1244-492</f>
        <v>752</v>
      </c>
      <c r="M159" s="170"/>
      <c r="N159" s="170"/>
      <c r="O159" s="171">
        <f t="shared" si="8"/>
        <v>752</v>
      </c>
      <c r="P159" s="545">
        <f>1244-492</f>
        <v>752</v>
      </c>
      <c r="Q159" s="170"/>
      <c r="R159" s="170"/>
      <c r="S159" s="171">
        <f t="shared" si="9"/>
        <v>752</v>
      </c>
      <c r="T159" s="173">
        <f t="shared" si="10"/>
        <v>1504</v>
      </c>
      <c r="U159" s="170"/>
      <c r="V159" s="170"/>
      <c r="W159" s="171">
        <f t="shared" si="11"/>
        <v>1504</v>
      </c>
    </row>
    <row r="160" spans="1:23" ht="28.5">
      <c r="A160" s="234" t="s">
        <v>7</v>
      </c>
      <c r="B160" s="158" t="s">
        <v>1700</v>
      </c>
      <c r="C160" s="238" t="s">
        <v>335</v>
      </c>
      <c r="D160" s="57" t="s">
        <v>349</v>
      </c>
      <c r="E160" s="57"/>
      <c r="F160" s="57" t="s">
        <v>159</v>
      </c>
      <c r="G160" s="266" t="s">
        <v>158</v>
      </c>
      <c r="H160" s="302" t="s">
        <v>2151</v>
      </c>
      <c r="I160" s="265">
        <v>89012931</v>
      </c>
      <c r="J160" s="267" t="s">
        <v>149</v>
      </c>
      <c r="K160" s="549">
        <v>2</v>
      </c>
      <c r="L160" s="545">
        <f>1-1</f>
        <v>0</v>
      </c>
      <c r="M160" s="170"/>
      <c r="N160" s="170"/>
      <c r="O160" s="171">
        <f t="shared" si="8"/>
        <v>0</v>
      </c>
      <c r="P160" s="545">
        <f>1-1</f>
        <v>0</v>
      </c>
      <c r="Q160" s="170"/>
      <c r="R160" s="170"/>
      <c r="S160" s="171">
        <f t="shared" si="9"/>
        <v>0</v>
      </c>
      <c r="T160" s="173">
        <f t="shared" si="10"/>
        <v>0</v>
      </c>
      <c r="U160" s="170"/>
      <c r="V160" s="170"/>
      <c r="W160" s="171">
        <f t="shared" si="11"/>
        <v>0</v>
      </c>
    </row>
    <row r="161" spans="1:23" ht="28.5">
      <c r="A161" s="234" t="s">
        <v>7</v>
      </c>
      <c r="B161" s="158" t="s">
        <v>1700</v>
      </c>
      <c r="C161" s="238" t="s">
        <v>316</v>
      </c>
      <c r="D161" s="57"/>
      <c r="E161" s="57"/>
      <c r="F161" s="57" t="s">
        <v>159</v>
      </c>
      <c r="G161" s="266" t="s">
        <v>158</v>
      </c>
      <c r="H161" s="302" t="s">
        <v>2152</v>
      </c>
      <c r="I161" s="265">
        <v>83904502</v>
      </c>
      <c r="J161" s="267" t="s">
        <v>149</v>
      </c>
      <c r="K161" s="549">
        <v>2</v>
      </c>
      <c r="L161" s="545">
        <f>1926-924</f>
        <v>1002</v>
      </c>
      <c r="M161" s="170"/>
      <c r="N161" s="170"/>
      <c r="O161" s="171">
        <f t="shared" si="8"/>
        <v>1002</v>
      </c>
      <c r="P161" s="545">
        <f>1926-924</f>
        <v>1002</v>
      </c>
      <c r="Q161" s="170"/>
      <c r="R161" s="170"/>
      <c r="S161" s="171">
        <f t="shared" si="9"/>
        <v>1002</v>
      </c>
      <c r="T161" s="173">
        <f t="shared" si="10"/>
        <v>2004</v>
      </c>
      <c r="U161" s="170"/>
      <c r="V161" s="170"/>
      <c r="W161" s="171">
        <f t="shared" si="11"/>
        <v>2004</v>
      </c>
    </row>
    <row r="162" spans="1:23" ht="28.5">
      <c r="A162" s="234" t="s">
        <v>7</v>
      </c>
      <c r="B162" s="158" t="s">
        <v>1700</v>
      </c>
      <c r="C162" s="238" t="s">
        <v>318</v>
      </c>
      <c r="D162" s="57" t="s">
        <v>2153</v>
      </c>
      <c r="E162" s="57"/>
      <c r="F162" s="57" t="s">
        <v>159</v>
      </c>
      <c r="G162" s="266" t="s">
        <v>158</v>
      </c>
      <c r="H162" s="302" t="s">
        <v>2154</v>
      </c>
      <c r="I162" s="265">
        <v>89012539</v>
      </c>
      <c r="J162" s="267" t="s">
        <v>149</v>
      </c>
      <c r="K162" s="549">
        <v>2</v>
      </c>
      <c r="L162" s="545">
        <f>1148-466</f>
        <v>682</v>
      </c>
      <c r="M162" s="170"/>
      <c r="N162" s="170"/>
      <c r="O162" s="171">
        <f t="shared" si="8"/>
        <v>682</v>
      </c>
      <c r="P162" s="545">
        <f>1148-466</f>
        <v>682</v>
      </c>
      <c r="Q162" s="170"/>
      <c r="R162" s="170"/>
      <c r="S162" s="171">
        <f t="shared" si="9"/>
        <v>682</v>
      </c>
      <c r="T162" s="173">
        <f t="shared" si="10"/>
        <v>1364</v>
      </c>
      <c r="U162" s="170"/>
      <c r="V162" s="170"/>
      <c r="W162" s="171">
        <f t="shared" si="11"/>
        <v>1364</v>
      </c>
    </row>
    <row r="163" spans="1:23" ht="29.25">
      <c r="A163" s="234" t="s">
        <v>7</v>
      </c>
      <c r="B163" s="56" t="s">
        <v>8</v>
      </c>
      <c r="C163" s="56" t="s">
        <v>335</v>
      </c>
      <c r="D163" s="56" t="s">
        <v>326</v>
      </c>
      <c r="E163" s="56" t="s">
        <v>2236</v>
      </c>
      <c r="F163" s="56" t="s">
        <v>159</v>
      </c>
      <c r="G163" s="56" t="s">
        <v>158</v>
      </c>
      <c r="H163" s="538">
        <v>53817233</v>
      </c>
      <c r="I163" s="56">
        <v>95817646</v>
      </c>
      <c r="J163" s="43" t="s">
        <v>147</v>
      </c>
      <c r="K163" s="90">
        <v>0.5</v>
      </c>
      <c r="L163" s="566">
        <f>93*14</f>
        <v>1302</v>
      </c>
      <c r="M163" s="41"/>
      <c r="N163" s="567"/>
      <c r="O163" s="28">
        <f>L163</f>
        <v>1302</v>
      </c>
      <c r="P163" s="566">
        <f>93*14</f>
        <v>1302</v>
      </c>
      <c r="Q163" s="41"/>
      <c r="R163" s="567"/>
      <c r="S163" s="28">
        <f>P163</f>
        <v>1302</v>
      </c>
      <c r="T163" s="173">
        <f t="shared" si="10"/>
        <v>2604</v>
      </c>
      <c r="U163" s="41"/>
      <c r="V163" s="567"/>
      <c r="W163" s="28">
        <f>T163</f>
        <v>2604</v>
      </c>
    </row>
    <row r="164" spans="1:23" ht="29.25">
      <c r="A164" s="234" t="s">
        <v>7</v>
      </c>
      <c r="B164" s="56" t="s">
        <v>8</v>
      </c>
      <c r="C164" s="56" t="s">
        <v>320</v>
      </c>
      <c r="D164" s="56" t="s">
        <v>490</v>
      </c>
      <c r="E164" s="56" t="s">
        <v>2235</v>
      </c>
      <c r="F164" s="56" t="s">
        <v>159</v>
      </c>
      <c r="G164" s="56" t="s">
        <v>158</v>
      </c>
      <c r="H164" s="538">
        <v>53618343</v>
      </c>
      <c r="I164" s="56">
        <v>95799775</v>
      </c>
      <c r="J164" s="43" t="s">
        <v>147</v>
      </c>
      <c r="K164" s="90">
        <v>2.2</v>
      </c>
      <c r="L164" s="566">
        <f>130*14</f>
        <v>1820</v>
      </c>
      <c r="M164" s="41"/>
      <c r="N164" s="567"/>
      <c r="O164" s="28">
        <f>L164</f>
        <v>1820</v>
      </c>
      <c r="P164" s="566">
        <f>130*14</f>
        <v>1820</v>
      </c>
      <c r="Q164" s="41"/>
      <c r="R164" s="567"/>
      <c r="S164" s="28">
        <f>P164</f>
        <v>1820</v>
      </c>
      <c r="T164" s="173">
        <f t="shared" si="10"/>
        <v>3640</v>
      </c>
      <c r="U164" s="41"/>
      <c r="V164" s="567"/>
      <c r="W164" s="28">
        <f>T164</f>
        <v>3640</v>
      </c>
    </row>
    <row r="165" spans="1:23" ht="30" thickBot="1">
      <c r="A165" s="234" t="s">
        <v>7</v>
      </c>
      <c r="B165" s="56" t="s">
        <v>8</v>
      </c>
      <c r="C165" s="124" t="s">
        <v>309</v>
      </c>
      <c r="D165" s="124" t="s">
        <v>1048</v>
      </c>
      <c r="E165" s="124" t="s">
        <v>2234</v>
      </c>
      <c r="F165" s="124" t="s">
        <v>159</v>
      </c>
      <c r="G165" s="124" t="s">
        <v>158</v>
      </c>
      <c r="H165" s="539">
        <v>53467186</v>
      </c>
      <c r="I165" s="124">
        <v>92062493</v>
      </c>
      <c r="J165" s="682" t="s">
        <v>147</v>
      </c>
      <c r="K165" s="654">
        <v>2</v>
      </c>
      <c r="L165" s="653">
        <f>334*14</f>
        <v>4676</v>
      </c>
      <c r="M165" s="50"/>
      <c r="N165" s="652"/>
      <c r="O165" s="24">
        <f>L165</f>
        <v>4676</v>
      </c>
      <c r="P165" s="653">
        <f>334*14</f>
        <v>4676</v>
      </c>
      <c r="Q165" s="50"/>
      <c r="R165" s="652"/>
      <c r="S165" s="24">
        <f>P165</f>
        <v>4676</v>
      </c>
      <c r="T165" s="173">
        <f t="shared" si="10"/>
        <v>9352</v>
      </c>
      <c r="U165" s="50"/>
      <c r="V165" s="652"/>
      <c r="W165" s="24">
        <f>T165</f>
        <v>9352</v>
      </c>
    </row>
    <row r="166" spans="2:23" ht="20.25" customHeight="1">
      <c r="B166" s="408" t="s">
        <v>150</v>
      </c>
      <c r="C166" s="409" t="s">
        <v>359</v>
      </c>
      <c r="D166" s="32"/>
      <c r="E166" s="167"/>
      <c r="H166" s="410" t="s">
        <v>2030</v>
      </c>
      <c r="I166" s="31" t="s">
        <v>359</v>
      </c>
      <c r="J166" s="411"/>
      <c r="K166" s="412"/>
      <c r="L166" s="2" t="s">
        <v>2020</v>
      </c>
      <c r="N166" s="49" t="s">
        <v>151</v>
      </c>
      <c r="O166" s="279">
        <f>SUM(O18:O165)</f>
        <v>1069701</v>
      </c>
      <c r="P166" s="2" t="s">
        <v>2020</v>
      </c>
      <c r="Q166" s="2"/>
      <c r="R166" s="49" t="s">
        <v>151</v>
      </c>
      <c r="S166" s="279">
        <f>SUM(S18:S165)</f>
        <v>1069701</v>
      </c>
      <c r="T166" s="2" t="s">
        <v>2020</v>
      </c>
      <c r="U166" s="2"/>
      <c r="V166" s="49" t="s">
        <v>151</v>
      </c>
      <c r="W166" s="279">
        <f>SUM(W18:W165)</f>
        <v>2139402</v>
      </c>
    </row>
    <row r="167" spans="2:11" ht="15">
      <c r="B167" s="237"/>
      <c r="C167" s="63" t="s">
        <v>357</v>
      </c>
      <c r="D167" s="36"/>
      <c r="E167" s="167"/>
      <c r="H167" s="413"/>
      <c r="I167" s="35" t="s">
        <v>357</v>
      </c>
      <c r="J167" s="223"/>
      <c r="K167" s="414"/>
    </row>
    <row r="168" spans="2:11" ht="15.75" thickBot="1">
      <c r="B168" s="237"/>
      <c r="C168" s="63" t="s">
        <v>275</v>
      </c>
      <c r="D168" s="36"/>
      <c r="E168" s="64"/>
      <c r="H168" s="415"/>
      <c r="I168" s="38" t="s">
        <v>275</v>
      </c>
      <c r="J168" s="416"/>
      <c r="K168" s="417"/>
    </row>
    <row r="169" spans="2:11" ht="15">
      <c r="B169" s="237" t="s">
        <v>1640</v>
      </c>
      <c r="C169" s="63" t="s">
        <v>1913</v>
      </c>
      <c r="D169" s="36"/>
      <c r="E169" s="64"/>
      <c r="K169" s="55"/>
    </row>
    <row r="170" spans="2:11" ht="15.75" thickBot="1">
      <c r="B170" s="200" t="s">
        <v>1644</v>
      </c>
      <c r="C170" s="66" t="s">
        <v>1753</v>
      </c>
      <c r="D170" s="39"/>
      <c r="E170" s="64"/>
      <c r="K170" s="55"/>
    </row>
    <row r="171" spans="2:11" ht="15">
      <c r="B171" s="236"/>
      <c r="C171" s="63"/>
      <c r="D171" s="64"/>
      <c r="E171" s="64"/>
      <c r="K171" s="55"/>
    </row>
    <row r="172" spans="2:11" ht="15">
      <c r="B172" s="236"/>
      <c r="C172" s="63"/>
      <c r="D172" s="64"/>
      <c r="E172" s="64"/>
      <c r="K172" s="55"/>
    </row>
    <row r="173" spans="2:11" ht="15">
      <c r="B173" s="236"/>
      <c r="C173" s="63"/>
      <c r="D173" s="64"/>
      <c r="E173" s="64"/>
      <c r="K173" s="55"/>
    </row>
    <row r="174" spans="2:11" ht="15">
      <c r="B174" s="236"/>
      <c r="C174" s="63"/>
      <c r="D174" s="64"/>
      <c r="E174" s="64"/>
      <c r="K174" s="55"/>
    </row>
    <row r="175" spans="2:11" ht="15">
      <c r="B175" s="236"/>
      <c r="C175" s="63"/>
      <c r="D175" s="64"/>
      <c r="E175" s="64"/>
      <c r="K175" s="55"/>
    </row>
    <row r="176" spans="2:14" ht="15">
      <c r="B176" s="236"/>
      <c r="C176" s="63"/>
      <c r="D176" s="64"/>
      <c r="E176" s="64"/>
      <c r="K176" s="55"/>
      <c r="M176" s="2" t="s">
        <v>151</v>
      </c>
      <c r="N176" s="2">
        <f>W166</f>
        <v>2139402</v>
      </c>
    </row>
    <row r="177" spans="2:5" ht="15.75" thickBot="1">
      <c r="B177" s="64"/>
      <c r="C177" s="63"/>
      <c r="D177" s="64"/>
      <c r="E177" s="64"/>
    </row>
    <row r="178" spans="7:15" ht="44.25" customHeight="1">
      <c r="G178" s="146"/>
      <c r="H178" s="194"/>
      <c r="J178" s="198"/>
      <c r="K178" s="772" t="s">
        <v>152</v>
      </c>
      <c r="L178" s="774" t="s">
        <v>2257</v>
      </c>
      <c r="M178" s="775"/>
      <c r="N178" s="776"/>
      <c r="O178" s="768" t="s">
        <v>153</v>
      </c>
    </row>
    <row r="179" spans="7:15" ht="24.75" customHeight="1" thickBot="1">
      <c r="G179" s="195"/>
      <c r="H179" s="196"/>
      <c r="J179" s="201"/>
      <c r="K179" s="773"/>
      <c r="L179" s="115" t="s">
        <v>154</v>
      </c>
      <c r="M179" s="115" t="s">
        <v>1017</v>
      </c>
      <c r="N179" s="115" t="s">
        <v>1018</v>
      </c>
      <c r="O179" s="769"/>
    </row>
    <row r="180" spans="7:15" ht="24.75" customHeight="1">
      <c r="G180" s="195"/>
      <c r="H180" s="196"/>
      <c r="J180" s="201"/>
      <c r="K180" s="690" t="s">
        <v>147</v>
      </c>
      <c r="L180" s="582">
        <f>SUM(W163:W165)</f>
        <v>15596</v>
      </c>
      <c r="M180" s="141"/>
      <c r="N180" s="141"/>
      <c r="O180" s="713">
        <v>3</v>
      </c>
    </row>
    <row r="181" spans="7:15" ht="15" thickBot="1">
      <c r="G181" s="29"/>
      <c r="H181" s="135"/>
      <c r="J181" s="29"/>
      <c r="K181" s="690" t="s">
        <v>149</v>
      </c>
      <c r="L181" s="582">
        <f>SUM(W18:W162)</f>
        <v>2123806</v>
      </c>
      <c r="M181" s="141"/>
      <c r="N181" s="141"/>
      <c r="O181" s="713">
        <v>145</v>
      </c>
    </row>
    <row r="182" spans="7:15" ht="18.75" thickBot="1">
      <c r="G182" s="29"/>
      <c r="H182" s="201"/>
      <c r="I182" s="197"/>
      <c r="J182" s="29"/>
      <c r="K182" s="691" t="s">
        <v>155</v>
      </c>
      <c r="L182" s="593">
        <f>SUM(L180:L181)</f>
        <v>2139402</v>
      </c>
      <c r="M182" s="594">
        <f>SUM(M181:M181)</f>
        <v>0</v>
      </c>
      <c r="N182" s="595">
        <f>SUM(N181:N181)</f>
        <v>0</v>
      </c>
      <c r="O182" s="272">
        <f>SUM(O180:O181)</f>
        <v>148</v>
      </c>
    </row>
    <row r="183" spans="7:15" ht="18.75" thickBot="1">
      <c r="G183" s="29"/>
      <c r="H183" s="29"/>
      <c r="I183" s="135"/>
      <c r="J183" s="82"/>
      <c r="K183"/>
      <c r="L183" s="54" t="s">
        <v>156</v>
      </c>
      <c r="M183" s="273">
        <f>SUM(L182:N182)</f>
        <v>2139402</v>
      </c>
      <c r="N183"/>
      <c r="O183"/>
    </row>
    <row r="184" ht="14.25">
      <c r="J184" s="2"/>
    </row>
  </sheetData>
  <sheetProtection/>
  <mergeCells count="23">
    <mergeCell ref="P15:S15"/>
    <mergeCell ref="T15:W15"/>
    <mergeCell ref="P16:S16"/>
    <mergeCell ref="T16:W16"/>
    <mergeCell ref="B1:L1"/>
    <mergeCell ref="O178:O179"/>
    <mergeCell ref="K178:K179"/>
    <mergeCell ref="L178:N178"/>
    <mergeCell ref="L16:O16"/>
    <mergeCell ref="J15:J17"/>
    <mergeCell ref="A15:A17"/>
    <mergeCell ref="B15:B17"/>
    <mergeCell ref="C15:C17"/>
    <mergeCell ref="D15:D17"/>
    <mergeCell ref="E15:E17"/>
    <mergeCell ref="F15:F17"/>
    <mergeCell ref="K15:K17"/>
    <mergeCell ref="L15:O15"/>
    <mergeCell ref="B3:I3"/>
    <mergeCell ref="B5:I5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4"/>
  <sheetViews>
    <sheetView zoomScale="50" zoomScaleNormal="50" zoomScalePageLayoutView="0" workbookViewId="0" topLeftCell="A109">
      <selection activeCell="S136" sqref="S136"/>
    </sheetView>
  </sheetViews>
  <sheetFormatPr defaultColWidth="8.796875" defaultRowHeight="14.25"/>
  <cols>
    <col min="1" max="1" width="12.69921875" style="1" customWidth="1"/>
    <col min="2" max="2" width="11.69921875" style="0" customWidth="1"/>
    <col min="3" max="3" width="15.3984375" style="0" customWidth="1"/>
    <col min="4" max="4" width="15.09765625" style="0" customWidth="1"/>
    <col min="5" max="5" width="11.59765625" style="0" customWidth="1"/>
    <col min="7" max="7" width="14.3984375" style="0" customWidth="1"/>
    <col min="8" max="8" width="19" style="0" customWidth="1"/>
    <col min="9" max="9" width="26.3984375" style="0" customWidth="1"/>
    <col min="10" max="10" width="12" style="1" customWidth="1"/>
    <col min="11" max="11" width="12.8984375" style="1" customWidth="1"/>
    <col min="12" max="12" width="15" style="0" customWidth="1"/>
    <col min="13" max="13" width="15.19921875" style="0" customWidth="1"/>
    <col min="14" max="14" width="17.19921875" style="0" customWidth="1"/>
    <col min="15" max="15" width="16.5" style="0" customWidth="1"/>
    <col min="16" max="16" width="17.69921875" style="0" customWidth="1"/>
    <col min="17" max="17" width="15" style="0" customWidth="1"/>
    <col min="18" max="18" width="15.69921875" style="0" customWidth="1"/>
    <col min="19" max="19" width="17" style="0" customWidth="1"/>
    <col min="20" max="20" width="21.5" style="0" customWidth="1"/>
    <col min="21" max="21" width="20.3984375" style="0" customWidth="1"/>
    <col min="22" max="22" width="18.3984375" style="0" customWidth="1"/>
    <col min="23" max="23" width="11.19921875" style="0" customWidth="1"/>
  </cols>
  <sheetData>
    <row r="1" spans="1:13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2"/>
    </row>
    <row r="2" spans="1:13" ht="15">
      <c r="A2"/>
      <c r="B2" s="182"/>
      <c r="C2" s="182"/>
      <c r="D2" s="182"/>
      <c r="E2" s="182"/>
      <c r="F2" s="182"/>
      <c r="G2" s="182"/>
      <c r="H2" s="183"/>
      <c r="I2" s="184"/>
      <c r="J2" s="192"/>
      <c r="K2" s="29"/>
      <c r="L2" s="2"/>
      <c r="M2" s="2"/>
    </row>
    <row r="3" spans="1:13" ht="26.25" customHeight="1">
      <c r="A3"/>
      <c r="B3" s="785" t="s">
        <v>1032</v>
      </c>
      <c r="C3" s="786"/>
      <c r="D3" s="786"/>
      <c r="E3" s="786"/>
      <c r="F3" s="786"/>
      <c r="G3" s="786"/>
      <c r="H3" s="786"/>
      <c r="I3" s="787"/>
      <c r="J3" s="192"/>
      <c r="K3" s="29"/>
      <c r="L3" s="2"/>
      <c r="M3" s="2"/>
    </row>
    <row r="4" spans="1:13" ht="15">
      <c r="A4"/>
      <c r="B4" s="183"/>
      <c r="C4" s="183"/>
      <c r="D4" s="183"/>
      <c r="E4" s="183"/>
      <c r="F4" s="183"/>
      <c r="G4" s="183"/>
      <c r="H4" s="183"/>
      <c r="I4" s="184"/>
      <c r="J4" s="192"/>
      <c r="K4" s="29"/>
      <c r="L4" s="2"/>
      <c r="M4" s="2"/>
    </row>
    <row r="5" spans="1:13" ht="15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92"/>
      <c r="K5" s="29"/>
      <c r="L5" s="2"/>
      <c r="M5" s="2"/>
    </row>
    <row r="6" spans="1:13" ht="15">
      <c r="A6"/>
      <c r="B6" s="183"/>
      <c r="C6" s="183"/>
      <c r="D6" s="183"/>
      <c r="E6" s="183"/>
      <c r="F6" s="183"/>
      <c r="G6" s="183"/>
      <c r="H6" s="183"/>
      <c r="I6" s="184"/>
      <c r="J6" s="192"/>
      <c r="K6" s="29"/>
      <c r="L6" s="2"/>
      <c r="M6" s="2"/>
    </row>
    <row r="7" spans="1:13" ht="15.75">
      <c r="A7"/>
      <c r="B7" s="383" t="s">
        <v>950</v>
      </c>
      <c r="C7" s="182"/>
      <c r="D7" s="183"/>
      <c r="E7" s="183"/>
      <c r="F7" s="183"/>
      <c r="G7" s="182"/>
      <c r="H7" s="183"/>
      <c r="I7" s="184"/>
      <c r="J7" s="192"/>
      <c r="K7" s="29"/>
      <c r="L7" s="2"/>
      <c r="M7" s="2"/>
    </row>
    <row r="8" spans="1:13" ht="15.75">
      <c r="A8"/>
      <c r="B8" s="383" t="s">
        <v>2031</v>
      </c>
      <c r="C8" s="182"/>
      <c r="D8" s="183"/>
      <c r="E8" s="183"/>
      <c r="F8" s="183"/>
      <c r="G8" s="182"/>
      <c r="H8" s="183"/>
      <c r="I8" s="184"/>
      <c r="J8" s="192"/>
      <c r="K8" s="29"/>
      <c r="L8" s="2"/>
      <c r="M8" s="2"/>
    </row>
    <row r="9" spans="1:15" ht="15.75">
      <c r="A9"/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1:13" ht="15.75">
      <c r="A10"/>
      <c r="B10" s="186" t="s">
        <v>1634</v>
      </c>
      <c r="C10" s="182"/>
      <c r="D10" s="187"/>
      <c r="E10" s="183"/>
      <c r="F10" s="183"/>
      <c r="G10" s="182"/>
      <c r="H10" s="183"/>
      <c r="I10" s="184"/>
      <c r="J10" s="192"/>
      <c r="K10" s="29"/>
      <c r="L10" s="2"/>
      <c r="M10" s="2"/>
    </row>
    <row r="11" spans="1:13" ht="15">
      <c r="A11"/>
      <c r="B11" s="182" t="s">
        <v>1024</v>
      </c>
      <c r="C11" s="182"/>
      <c r="D11" s="182"/>
      <c r="E11" s="182"/>
      <c r="F11" s="182"/>
      <c r="G11" s="182"/>
      <c r="H11" s="183"/>
      <c r="I11" s="184"/>
      <c r="J11" s="192"/>
      <c r="K11" s="29"/>
      <c r="L11" s="2"/>
      <c r="M11" s="2"/>
    </row>
    <row r="12" spans="1:13" ht="15.75">
      <c r="A12"/>
      <c r="B12" s="188"/>
      <c r="C12" s="189"/>
      <c r="D12" s="187"/>
      <c r="E12" s="187"/>
      <c r="F12" s="187"/>
      <c r="G12" s="187"/>
      <c r="H12" s="190"/>
      <c r="I12" s="182"/>
      <c r="J12" s="192"/>
      <c r="K12" s="29"/>
      <c r="L12" s="2"/>
      <c r="M12" s="2"/>
    </row>
    <row r="13" spans="1:13" ht="16.5" thickBot="1">
      <c r="A13"/>
      <c r="B13" s="188" t="s">
        <v>1015</v>
      </c>
      <c r="C13" s="185" t="s">
        <v>1016</v>
      </c>
      <c r="D13" s="187"/>
      <c r="E13" s="187"/>
      <c r="F13" s="187"/>
      <c r="G13" s="187"/>
      <c r="H13" s="190"/>
      <c r="I13" s="662"/>
      <c r="J13" s="192"/>
      <c r="K13" s="29"/>
      <c r="L13" s="2"/>
      <c r="M13" s="2"/>
    </row>
    <row r="14" spans="1:13" ht="15" thickBot="1">
      <c r="A14" s="29"/>
      <c r="B14" s="82"/>
      <c r="C14" s="29"/>
      <c r="D14" s="29"/>
      <c r="E14" s="29"/>
      <c r="F14" s="29"/>
      <c r="G14" s="29"/>
      <c r="H14" s="29"/>
      <c r="I14" s="29"/>
      <c r="J14" s="82"/>
      <c r="K14" s="29"/>
      <c r="L14" s="2"/>
      <c r="M14" s="2"/>
    </row>
    <row r="15" spans="1:23" ht="55.5" customHeight="1">
      <c r="A15" s="788" t="s">
        <v>0</v>
      </c>
      <c r="B15" s="762" t="s">
        <v>976</v>
      </c>
      <c r="C15" s="765" t="s">
        <v>1</v>
      </c>
      <c r="D15" s="765" t="s">
        <v>2</v>
      </c>
      <c r="E15" s="756" t="s">
        <v>1360</v>
      </c>
      <c r="F15" s="756" t="s">
        <v>3</v>
      </c>
      <c r="G15" s="765" t="s">
        <v>4</v>
      </c>
      <c r="H15" s="756" t="s">
        <v>738</v>
      </c>
      <c r="I15" s="756" t="s">
        <v>5</v>
      </c>
      <c r="J15" s="756" t="s">
        <v>152</v>
      </c>
      <c r="K15" s="791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3.5" customHeight="1">
      <c r="A16" s="789"/>
      <c r="B16" s="763"/>
      <c r="C16" s="766"/>
      <c r="D16" s="766"/>
      <c r="E16" s="757"/>
      <c r="F16" s="757"/>
      <c r="G16" s="766"/>
      <c r="H16" s="757"/>
      <c r="I16" s="757"/>
      <c r="J16" s="757"/>
      <c r="K16" s="792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40.5" customHeight="1" thickBot="1">
      <c r="A17" s="790"/>
      <c r="B17" s="764"/>
      <c r="C17" s="767"/>
      <c r="D17" s="767"/>
      <c r="E17" s="758"/>
      <c r="F17" s="758"/>
      <c r="G17" s="767"/>
      <c r="H17" s="758"/>
      <c r="I17" s="758"/>
      <c r="J17" s="758"/>
      <c r="K17" s="793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43" t="s">
        <v>7</v>
      </c>
      <c r="B18" s="124" t="s">
        <v>8</v>
      </c>
      <c r="C18" s="124" t="s">
        <v>388</v>
      </c>
      <c r="D18" s="124" t="s">
        <v>389</v>
      </c>
      <c r="E18" s="48"/>
      <c r="F18" s="48" t="s">
        <v>362</v>
      </c>
      <c r="G18" s="48" t="s">
        <v>363</v>
      </c>
      <c r="H18" s="40">
        <v>92952588</v>
      </c>
      <c r="I18" s="313" t="s">
        <v>1592</v>
      </c>
      <c r="J18" s="143" t="s">
        <v>364</v>
      </c>
      <c r="K18" s="144">
        <v>2</v>
      </c>
      <c r="L18" s="50"/>
      <c r="M18" s="49">
        <f>2644-592</f>
        <v>2052</v>
      </c>
      <c r="N18" s="49">
        <f>5593-1218</f>
        <v>4375</v>
      </c>
      <c r="O18" s="49">
        <f>SUM(M18:N18)</f>
        <v>6427</v>
      </c>
      <c r="P18" s="50"/>
      <c r="Q18" s="49">
        <f>2644-592</f>
        <v>2052</v>
      </c>
      <c r="R18" s="49">
        <f>5593-1218</f>
        <v>4375</v>
      </c>
      <c r="S18" s="49">
        <f>SUM(Q18:R18)</f>
        <v>6427</v>
      </c>
      <c r="T18" s="50"/>
      <c r="U18" s="49">
        <f>M18+Q18</f>
        <v>4104</v>
      </c>
      <c r="V18" s="49">
        <f>N18+R18</f>
        <v>8750</v>
      </c>
      <c r="W18" s="49">
        <f>SUM(U18:V18)</f>
        <v>12854</v>
      </c>
    </row>
    <row r="19" spans="1:23" ht="29.25">
      <c r="A19" s="243" t="s">
        <v>7</v>
      </c>
      <c r="B19" s="124" t="s">
        <v>8</v>
      </c>
      <c r="C19" s="56" t="s">
        <v>385</v>
      </c>
      <c r="D19" s="56"/>
      <c r="E19" s="51"/>
      <c r="F19" s="51" t="s">
        <v>362</v>
      </c>
      <c r="G19" s="51" t="s">
        <v>363</v>
      </c>
      <c r="H19" s="42">
        <v>83564255</v>
      </c>
      <c r="I19" s="302" t="s">
        <v>1588</v>
      </c>
      <c r="J19" s="4" t="s">
        <v>364</v>
      </c>
      <c r="K19" s="58">
        <v>3</v>
      </c>
      <c r="L19" s="41"/>
      <c r="M19" s="12">
        <f>7828-5658</f>
        <v>2170</v>
      </c>
      <c r="N19" s="12">
        <f>9544-5595</f>
        <v>3949</v>
      </c>
      <c r="O19" s="49">
        <f aca="true" t="shared" si="0" ref="O19:O82">SUM(M19:N19)</f>
        <v>6119</v>
      </c>
      <c r="P19" s="41"/>
      <c r="Q19" s="12">
        <f>7828-5658</f>
        <v>2170</v>
      </c>
      <c r="R19" s="12">
        <f>9544-5595</f>
        <v>3949</v>
      </c>
      <c r="S19" s="49">
        <f aca="true" t="shared" si="1" ref="S19:S82">SUM(Q19:R19)</f>
        <v>6119</v>
      </c>
      <c r="T19" s="41"/>
      <c r="U19" s="49">
        <f aca="true" t="shared" si="2" ref="U19:U82">M19+Q19</f>
        <v>4340</v>
      </c>
      <c r="V19" s="49">
        <f aca="true" t="shared" si="3" ref="V19:V82">N19+R19</f>
        <v>7898</v>
      </c>
      <c r="W19" s="49">
        <f aca="true" t="shared" si="4" ref="W19:W82">SUM(U19:V19)</f>
        <v>12238</v>
      </c>
    </row>
    <row r="20" spans="1:23" ht="29.25">
      <c r="A20" s="243" t="s">
        <v>7</v>
      </c>
      <c r="B20" s="124" t="s">
        <v>8</v>
      </c>
      <c r="C20" s="56" t="s">
        <v>379</v>
      </c>
      <c r="D20" s="56"/>
      <c r="E20" s="51"/>
      <c r="F20" s="51" t="s">
        <v>362</v>
      </c>
      <c r="G20" s="51" t="s">
        <v>363</v>
      </c>
      <c r="H20" s="42">
        <v>83294614</v>
      </c>
      <c r="I20" s="302" t="s">
        <v>1579</v>
      </c>
      <c r="J20" s="4" t="s">
        <v>364</v>
      </c>
      <c r="K20" s="58">
        <v>3</v>
      </c>
      <c r="L20" s="41"/>
      <c r="M20" s="12">
        <f>60096-39171</f>
        <v>20925</v>
      </c>
      <c r="N20" s="12">
        <f>65869-59245</f>
        <v>6624</v>
      </c>
      <c r="O20" s="49">
        <f t="shared" si="0"/>
        <v>27549</v>
      </c>
      <c r="P20" s="41"/>
      <c r="Q20" s="12">
        <f>60096-39171</f>
        <v>20925</v>
      </c>
      <c r="R20" s="12">
        <f>65869-59245</f>
        <v>6624</v>
      </c>
      <c r="S20" s="49">
        <f t="shared" si="1"/>
        <v>27549</v>
      </c>
      <c r="T20" s="41"/>
      <c r="U20" s="49">
        <f t="shared" si="2"/>
        <v>41850</v>
      </c>
      <c r="V20" s="49">
        <f t="shared" si="3"/>
        <v>13248</v>
      </c>
      <c r="W20" s="49">
        <f t="shared" si="4"/>
        <v>55098</v>
      </c>
    </row>
    <row r="21" spans="1:23" ht="29.25">
      <c r="A21" s="243" t="s">
        <v>7</v>
      </c>
      <c r="B21" s="124" t="s">
        <v>8</v>
      </c>
      <c r="C21" s="56" t="s">
        <v>383</v>
      </c>
      <c r="D21" s="56"/>
      <c r="E21" s="51"/>
      <c r="F21" s="51" t="s">
        <v>362</v>
      </c>
      <c r="G21" s="51" t="s">
        <v>363</v>
      </c>
      <c r="H21" s="42">
        <v>90101537</v>
      </c>
      <c r="I21" s="313" t="s">
        <v>1584</v>
      </c>
      <c r="J21" s="4" t="s">
        <v>364</v>
      </c>
      <c r="K21" s="58">
        <v>6</v>
      </c>
      <c r="L21" s="41"/>
      <c r="M21" s="12">
        <f>19816-15264</f>
        <v>4552</v>
      </c>
      <c r="N21" s="12">
        <f>40294-31171</f>
        <v>9123</v>
      </c>
      <c r="O21" s="49">
        <f t="shared" si="0"/>
        <v>13675</v>
      </c>
      <c r="P21" s="41"/>
      <c r="Q21" s="12">
        <f>19816-15264</f>
        <v>4552</v>
      </c>
      <c r="R21" s="12">
        <f>40294-31171</f>
        <v>9123</v>
      </c>
      <c r="S21" s="49">
        <f t="shared" si="1"/>
        <v>13675</v>
      </c>
      <c r="T21" s="41"/>
      <c r="U21" s="49">
        <f t="shared" si="2"/>
        <v>9104</v>
      </c>
      <c r="V21" s="49">
        <f t="shared" si="3"/>
        <v>18246</v>
      </c>
      <c r="W21" s="49">
        <f t="shared" si="4"/>
        <v>27350</v>
      </c>
    </row>
    <row r="22" spans="1:23" ht="29.25">
      <c r="A22" s="243" t="s">
        <v>7</v>
      </c>
      <c r="B22" s="124" t="s">
        <v>8</v>
      </c>
      <c r="C22" s="56" t="s">
        <v>363</v>
      </c>
      <c r="D22" s="56" t="s">
        <v>374</v>
      </c>
      <c r="E22" s="51"/>
      <c r="F22" s="51" t="s">
        <v>362</v>
      </c>
      <c r="G22" s="51" t="s">
        <v>363</v>
      </c>
      <c r="H22" s="42">
        <v>90965400</v>
      </c>
      <c r="I22" s="302" t="s">
        <v>1570</v>
      </c>
      <c r="J22" s="4" t="s">
        <v>364</v>
      </c>
      <c r="K22" s="58">
        <v>6</v>
      </c>
      <c r="L22" s="41"/>
      <c r="M22" s="12">
        <f>16100-10284</f>
        <v>5816</v>
      </c>
      <c r="N22" s="12">
        <f>27286-15856</f>
        <v>11430</v>
      </c>
      <c r="O22" s="49">
        <f t="shared" si="0"/>
        <v>17246</v>
      </c>
      <c r="P22" s="41"/>
      <c r="Q22" s="12">
        <f>16100-10284</f>
        <v>5816</v>
      </c>
      <c r="R22" s="12">
        <f>27286-15856</f>
        <v>11430</v>
      </c>
      <c r="S22" s="49">
        <f t="shared" si="1"/>
        <v>17246</v>
      </c>
      <c r="T22" s="41"/>
      <c r="U22" s="49">
        <f t="shared" si="2"/>
        <v>11632</v>
      </c>
      <c r="V22" s="49">
        <f t="shared" si="3"/>
        <v>22860</v>
      </c>
      <c r="W22" s="49">
        <f t="shared" si="4"/>
        <v>34492</v>
      </c>
    </row>
    <row r="23" spans="1:23" ht="29.25">
      <c r="A23" s="243" t="s">
        <v>7</v>
      </c>
      <c r="B23" s="124" t="s">
        <v>8</v>
      </c>
      <c r="C23" s="56" t="s">
        <v>363</v>
      </c>
      <c r="D23" s="56" t="s">
        <v>43</v>
      </c>
      <c r="E23" s="51"/>
      <c r="F23" s="51" t="s">
        <v>362</v>
      </c>
      <c r="G23" s="51" t="s">
        <v>363</v>
      </c>
      <c r="H23" s="42">
        <v>90182650</v>
      </c>
      <c r="I23" s="302" t="s">
        <v>1574</v>
      </c>
      <c r="J23" s="4" t="s">
        <v>364</v>
      </c>
      <c r="K23" s="58">
        <v>6</v>
      </c>
      <c r="L23" s="41"/>
      <c r="M23" s="12">
        <f>31734-26161</f>
        <v>5573</v>
      </c>
      <c r="N23" s="12">
        <f>58289-48395</f>
        <v>9894</v>
      </c>
      <c r="O23" s="49">
        <f t="shared" si="0"/>
        <v>15467</v>
      </c>
      <c r="P23" s="41"/>
      <c r="Q23" s="12">
        <f>31734-26161</f>
        <v>5573</v>
      </c>
      <c r="R23" s="12">
        <f>58289-48395</f>
        <v>9894</v>
      </c>
      <c r="S23" s="49">
        <f t="shared" si="1"/>
        <v>15467</v>
      </c>
      <c r="T23" s="41"/>
      <c r="U23" s="49">
        <f t="shared" si="2"/>
        <v>11146</v>
      </c>
      <c r="V23" s="49">
        <f t="shared" si="3"/>
        <v>19788</v>
      </c>
      <c r="W23" s="49">
        <f t="shared" si="4"/>
        <v>30934</v>
      </c>
    </row>
    <row r="24" spans="1:23" ht="29.25">
      <c r="A24" s="243" t="s">
        <v>7</v>
      </c>
      <c r="B24" s="124" t="s">
        <v>8</v>
      </c>
      <c r="C24" s="56" t="s">
        <v>363</v>
      </c>
      <c r="D24" s="56" t="s">
        <v>380</v>
      </c>
      <c r="E24" s="51"/>
      <c r="F24" s="51" t="s">
        <v>362</v>
      </c>
      <c r="G24" s="51" t="s">
        <v>363</v>
      </c>
      <c r="H24" s="42">
        <v>90103811</v>
      </c>
      <c r="I24" s="313" t="s">
        <v>1580</v>
      </c>
      <c r="J24" s="4" t="s">
        <v>364</v>
      </c>
      <c r="K24" s="58">
        <v>8</v>
      </c>
      <c r="L24" s="41"/>
      <c r="M24" s="12">
        <f>45844-42665</f>
        <v>3179</v>
      </c>
      <c r="N24" s="12">
        <f>88629-82429</f>
        <v>6200</v>
      </c>
      <c r="O24" s="49">
        <f t="shared" si="0"/>
        <v>9379</v>
      </c>
      <c r="P24" s="41"/>
      <c r="Q24" s="12">
        <f>45844-42665</f>
        <v>3179</v>
      </c>
      <c r="R24" s="12">
        <f>88629-82429</f>
        <v>6200</v>
      </c>
      <c r="S24" s="49">
        <f t="shared" si="1"/>
        <v>9379</v>
      </c>
      <c r="T24" s="41"/>
      <c r="U24" s="49">
        <f t="shared" si="2"/>
        <v>6358</v>
      </c>
      <c r="V24" s="49">
        <f t="shared" si="3"/>
        <v>12400</v>
      </c>
      <c r="W24" s="49">
        <f t="shared" si="4"/>
        <v>18758</v>
      </c>
    </row>
    <row r="25" spans="1:23" ht="29.25">
      <c r="A25" s="243" t="s">
        <v>7</v>
      </c>
      <c r="B25" s="124" t="s">
        <v>8</v>
      </c>
      <c r="C25" s="56" t="s">
        <v>363</v>
      </c>
      <c r="D25" s="56" t="s">
        <v>377</v>
      </c>
      <c r="E25" s="51"/>
      <c r="F25" s="51" t="s">
        <v>362</v>
      </c>
      <c r="G25" s="51" t="s">
        <v>363</v>
      </c>
      <c r="H25" s="42">
        <v>90182865</v>
      </c>
      <c r="I25" s="302" t="s">
        <v>1576</v>
      </c>
      <c r="J25" s="4" t="s">
        <v>364</v>
      </c>
      <c r="K25" s="58">
        <v>7.7</v>
      </c>
      <c r="L25" s="41"/>
      <c r="M25" s="12">
        <f>46227-30614</f>
        <v>15613</v>
      </c>
      <c r="N25" s="12">
        <f>85960-56594</f>
        <v>29366</v>
      </c>
      <c r="O25" s="49">
        <f t="shared" si="0"/>
        <v>44979</v>
      </c>
      <c r="P25" s="41"/>
      <c r="Q25" s="12">
        <f>46227-30614</f>
        <v>15613</v>
      </c>
      <c r="R25" s="12">
        <f>85960-56594</f>
        <v>29366</v>
      </c>
      <c r="S25" s="49">
        <f t="shared" si="1"/>
        <v>44979</v>
      </c>
      <c r="T25" s="41"/>
      <c r="U25" s="49">
        <f t="shared" si="2"/>
        <v>31226</v>
      </c>
      <c r="V25" s="49">
        <f t="shared" si="3"/>
        <v>58732</v>
      </c>
      <c r="W25" s="49">
        <f t="shared" si="4"/>
        <v>89958</v>
      </c>
    </row>
    <row r="26" spans="1:23" ht="29.25">
      <c r="A26" s="243" t="s">
        <v>7</v>
      </c>
      <c r="B26" s="124" t="s">
        <v>8</v>
      </c>
      <c r="C26" s="56" t="s">
        <v>397</v>
      </c>
      <c r="D26" s="56"/>
      <c r="E26" s="51"/>
      <c r="F26" s="51" t="s">
        <v>362</v>
      </c>
      <c r="G26" s="51" t="s">
        <v>363</v>
      </c>
      <c r="H26" s="42">
        <v>90095908</v>
      </c>
      <c r="I26" s="302" t="s">
        <v>1620</v>
      </c>
      <c r="J26" s="4" t="s">
        <v>364</v>
      </c>
      <c r="K26" s="58">
        <v>5</v>
      </c>
      <c r="L26" s="41"/>
      <c r="M26" s="12">
        <f>23958-18925</f>
        <v>5033</v>
      </c>
      <c r="N26" s="12">
        <f>47028-37642</f>
        <v>9386</v>
      </c>
      <c r="O26" s="49">
        <f t="shared" si="0"/>
        <v>14419</v>
      </c>
      <c r="P26" s="41"/>
      <c r="Q26" s="12">
        <f>23958-18925</f>
        <v>5033</v>
      </c>
      <c r="R26" s="12">
        <f>47028-37642</f>
        <v>9386</v>
      </c>
      <c r="S26" s="49">
        <f t="shared" si="1"/>
        <v>14419</v>
      </c>
      <c r="T26" s="41"/>
      <c r="U26" s="49">
        <f t="shared" si="2"/>
        <v>10066</v>
      </c>
      <c r="V26" s="49">
        <f t="shared" si="3"/>
        <v>18772</v>
      </c>
      <c r="W26" s="49">
        <f t="shared" si="4"/>
        <v>28838</v>
      </c>
    </row>
    <row r="27" spans="1:23" ht="29.25">
      <c r="A27" s="243" t="s">
        <v>7</v>
      </c>
      <c r="B27" s="124" t="s">
        <v>8</v>
      </c>
      <c r="C27" s="56" t="s">
        <v>403</v>
      </c>
      <c r="D27" s="56"/>
      <c r="E27" s="51"/>
      <c r="F27" s="51" t="s">
        <v>362</v>
      </c>
      <c r="G27" s="51" t="s">
        <v>363</v>
      </c>
      <c r="H27" s="42">
        <v>83294261</v>
      </c>
      <c r="I27" s="313" t="s">
        <v>1616</v>
      </c>
      <c r="J27" s="4" t="s">
        <v>364</v>
      </c>
      <c r="K27" s="58">
        <v>0.5</v>
      </c>
      <c r="L27" s="41"/>
      <c r="M27" s="12">
        <f>1420-866</f>
        <v>554</v>
      </c>
      <c r="N27" s="12">
        <f>2352-1738</f>
        <v>614</v>
      </c>
      <c r="O27" s="49">
        <f t="shared" si="0"/>
        <v>1168</v>
      </c>
      <c r="P27" s="41"/>
      <c r="Q27" s="12">
        <f>1420-866</f>
        <v>554</v>
      </c>
      <c r="R27" s="12">
        <f>2352-1738</f>
        <v>614</v>
      </c>
      <c r="S27" s="49">
        <f t="shared" si="1"/>
        <v>1168</v>
      </c>
      <c r="T27" s="41"/>
      <c r="U27" s="49">
        <f t="shared" si="2"/>
        <v>1108</v>
      </c>
      <c r="V27" s="49">
        <f t="shared" si="3"/>
        <v>1228</v>
      </c>
      <c r="W27" s="49">
        <f t="shared" si="4"/>
        <v>2336</v>
      </c>
    </row>
    <row r="28" spans="1:23" ht="29.25">
      <c r="A28" s="243" t="s">
        <v>7</v>
      </c>
      <c r="B28" s="124" t="s">
        <v>8</v>
      </c>
      <c r="C28" s="56" t="s">
        <v>363</v>
      </c>
      <c r="D28" s="56" t="s">
        <v>373</v>
      </c>
      <c r="E28" s="51"/>
      <c r="F28" s="51" t="s">
        <v>362</v>
      </c>
      <c r="G28" s="51" t="s">
        <v>363</v>
      </c>
      <c r="H28" s="42">
        <v>90105337</v>
      </c>
      <c r="I28" s="302" t="s">
        <v>1569</v>
      </c>
      <c r="J28" s="4" t="s">
        <v>364</v>
      </c>
      <c r="K28" s="58">
        <v>6.4</v>
      </c>
      <c r="L28" s="41"/>
      <c r="M28" s="12">
        <f>58102-41470</f>
        <v>16632</v>
      </c>
      <c r="N28" s="12">
        <f>105366-73723</f>
        <v>31643</v>
      </c>
      <c r="O28" s="49">
        <f t="shared" si="0"/>
        <v>48275</v>
      </c>
      <c r="P28" s="41"/>
      <c r="Q28" s="12">
        <f>58102-41470</f>
        <v>16632</v>
      </c>
      <c r="R28" s="12">
        <f>105366-73723</f>
        <v>31643</v>
      </c>
      <c r="S28" s="49">
        <f t="shared" si="1"/>
        <v>48275</v>
      </c>
      <c r="T28" s="41"/>
      <c r="U28" s="49">
        <f t="shared" si="2"/>
        <v>33264</v>
      </c>
      <c r="V28" s="49">
        <f t="shared" si="3"/>
        <v>63286</v>
      </c>
      <c r="W28" s="49">
        <f t="shared" si="4"/>
        <v>96550</v>
      </c>
    </row>
    <row r="29" spans="1:23" ht="29.25">
      <c r="A29" s="243" t="s">
        <v>7</v>
      </c>
      <c r="B29" s="124" t="s">
        <v>8</v>
      </c>
      <c r="C29" s="56" t="s">
        <v>387</v>
      </c>
      <c r="D29" s="56"/>
      <c r="E29" s="51"/>
      <c r="F29" s="51" t="s">
        <v>362</v>
      </c>
      <c r="G29" s="51" t="s">
        <v>363</v>
      </c>
      <c r="H29" s="42">
        <v>83294213</v>
      </c>
      <c r="I29" s="302" t="s">
        <v>1591</v>
      </c>
      <c r="J29" s="4" t="s">
        <v>364</v>
      </c>
      <c r="K29" s="58">
        <v>2</v>
      </c>
      <c r="L29" s="41"/>
      <c r="M29" s="12">
        <f>35429-24168</f>
        <v>11261</v>
      </c>
      <c r="N29" s="12">
        <f>54119-45309</f>
        <v>8810</v>
      </c>
      <c r="O29" s="49">
        <f t="shared" si="0"/>
        <v>20071</v>
      </c>
      <c r="P29" s="41"/>
      <c r="Q29" s="12">
        <f>35429-24168</f>
        <v>11261</v>
      </c>
      <c r="R29" s="12">
        <f>54119-45309</f>
        <v>8810</v>
      </c>
      <c r="S29" s="49">
        <f t="shared" si="1"/>
        <v>20071</v>
      </c>
      <c r="T29" s="41"/>
      <c r="U29" s="49">
        <f t="shared" si="2"/>
        <v>22522</v>
      </c>
      <c r="V29" s="49">
        <f t="shared" si="3"/>
        <v>17620</v>
      </c>
      <c r="W29" s="49">
        <f t="shared" si="4"/>
        <v>40142</v>
      </c>
    </row>
    <row r="30" spans="1:23" ht="29.25">
      <c r="A30" s="243" t="s">
        <v>7</v>
      </c>
      <c r="B30" s="124" t="s">
        <v>8</v>
      </c>
      <c r="C30" s="56" t="s">
        <v>363</v>
      </c>
      <c r="D30" s="56" t="s">
        <v>376</v>
      </c>
      <c r="E30" s="51"/>
      <c r="F30" s="51" t="s">
        <v>362</v>
      </c>
      <c r="G30" s="51" t="s">
        <v>363</v>
      </c>
      <c r="H30" s="42">
        <v>90103558</v>
      </c>
      <c r="I30" s="313" t="s">
        <v>1575</v>
      </c>
      <c r="J30" s="4" t="s">
        <v>364</v>
      </c>
      <c r="K30" s="58">
        <v>7.7</v>
      </c>
      <c r="L30" s="41"/>
      <c r="M30" s="12">
        <f>76715-59934</f>
        <v>16781</v>
      </c>
      <c r="N30" s="12">
        <f>138119-112462</f>
        <v>25657</v>
      </c>
      <c r="O30" s="49">
        <f t="shared" si="0"/>
        <v>42438</v>
      </c>
      <c r="P30" s="41"/>
      <c r="Q30" s="12">
        <f>76715-59934</f>
        <v>16781</v>
      </c>
      <c r="R30" s="12">
        <f>138119-112462</f>
        <v>25657</v>
      </c>
      <c r="S30" s="49">
        <f t="shared" si="1"/>
        <v>42438</v>
      </c>
      <c r="T30" s="41"/>
      <c r="U30" s="49">
        <f t="shared" si="2"/>
        <v>33562</v>
      </c>
      <c r="V30" s="49">
        <f t="shared" si="3"/>
        <v>51314</v>
      </c>
      <c r="W30" s="49">
        <f t="shared" si="4"/>
        <v>84876</v>
      </c>
    </row>
    <row r="31" spans="1:23" ht="29.25">
      <c r="A31" s="243" t="s">
        <v>7</v>
      </c>
      <c r="B31" s="124" t="s">
        <v>8</v>
      </c>
      <c r="C31" s="56" t="s">
        <v>363</v>
      </c>
      <c r="D31" s="56" t="s">
        <v>57</v>
      </c>
      <c r="E31" s="51"/>
      <c r="F31" s="51" t="s">
        <v>362</v>
      </c>
      <c r="G31" s="51" t="s">
        <v>363</v>
      </c>
      <c r="H31" s="42">
        <v>90103149</v>
      </c>
      <c r="I31" s="302" t="s">
        <v>1573</v>
      </c>
      <c r="J31" s="4" t="s">
        <v>364</v>
      </c>
      <c r="K31" s="58">
        <v>7</v>
      </c>
      <c r="L31" s="41"/>
      <c r="M31" s="12">
        <f>63108-50801</f>
        <v>12307</v>
      </c>
      <c r="N31" s="12">
        <f>118206-94529</f>
        <v>23677</v>
      </c>
      <c r="O31" s="49">
        <f t="shared" si="0"/>
        <v>35984</v>
      </c>
      <c r="P31" s="41"/>
      <c r="Q31" s="12">
        <f>63108-50801</f>
        <v>12307</v>
      </c>
      <c r="R31" s="12">
        <f>118206-94529</f>
        <v>23677</v>
      </c>
      <c r="S31" s="49">
        <f t="shared" si="1"/>
        <v>35984</v>
      </c>
      <c r="T31" s="41"/>
      <c r="U31" s="49">
        <f t="shared" si="2"/>
        <v>24614</v>
      </c>
      <c r="V31" s="49">
        <f t="shared" si="3"/>
        <v>47354</v>
      </c>
      <c r="W31" s="49">
        <f t="shared" si="4"/>
        <v>71968</v>
      </c>
    </row>
    <row r="32" spans="1:23" ht="43.5">
      <c r="A32" s="243" t="s">
        <v>7</v>
      </c>
      <c r="B32" s="124" t="s">
        <v>8</v>
      </c>
      <c r="C32" s="56" t="s">
        <v>363</v>
      </c>
      <c r="D32" s="56" t="s">
        <v>375</v>
      </c>
      <c r="E32" s="51"/>
      <c r="F32" s="51" t="s">
        <v>362</v>
      </c>
      <c r="G32" s="51" t="s">
        <v>363</v>
      </c>
      <c r="H32" s="42">
        <v>90107457</v>
      </c>
      <c r="I32" s="302" t="s">
        <v>1572</v>
      </c>
      <c r="J32" s="4" t="s">
        <v>364</v>
      </c>
      <c r="K32" s="58">
        <v>6</v>
      </c>
      <c r="L32" s="41"/>
      <c r="M32" s="12">
        <f>41968-29733</f>
        <v>12235</v>
      </c>
      <c r="N32" s="12">
        <f>54925-46715</f>
        <v>8210</v>
      </c>
      <c r="O32" s="49">
        <f t="shared" si="0"/>
        <v>20445</v>
      </c>
      <c r="P32" s="41"/>
      <c r="Q32" s="12">
        <f>41968-29733</f>
        <v>12235</v>
      </c>
      <c r="R32" s="12">
        <f>54925-46715</f>
        <v>8210</v>
      </c>
      <c r="S32" s="49">
        <f t="shared" si="1"/>
        <v>20445</v>
      </c>
      <c r="T32" s="41"/>
      <c r="U32" s="49">
        <f t="shared" si="2"/>
        <v>24470</v>
      </c>
      <c r="V32" s="49">
        <f t="shared" si="3"/>
        <v>16420</v>
      </c>
      <c r="W32" s="49">
        <f t="shared" si="4"/>
        <v>40890</v>
      </c>
    </row>
    <row r="33" spans="1:23" ht="29.25">
      <c r="A33" s="243" t="s">
        <v>7</v>
      </c>
      <c r="B33" s="124" t="s">
        <v>8</v>
      </c>
      <c r="C33" s="56" t="s">
        <v>381</v>
      </c>
      <c r="D33" s="56"/>
      <c r="E33" s="51"/>
      <c r="F33" s="51" t="s">
        <v>362</v>
      </c>
      <c r="G33" s="51" t="s">
        <v>363</v>
      </c>
      <c r="H33" s="42">
        <v>93157813</v>
      </c>
      <c r="I33" s="313" t="s">
        <v>1581</v>
      </c>
      <c r="J33" s="4" t="s">
        <v>364</v>
      </c>
      <c r="K33" s="58">
        <v>6</v>
      </c>
      <c r="L33" s="41"/>
      <c r="M33" s="12">
        <f>67728-59354</f>
        <v>8374</v>
      </c>
      <c r="N33" s="12">
        <f>138760-119936</f>
        <v>18824</v>
      </c>
      <c r="O33" s="49">
        <f t="shared" si="0"/>
        <v>27198</v>
      </c>
      <c r="P33" s="41"/>
      <c r="Q33" s="12">
        <f>67728-59354</f>
        <v>8374</v>
      </c>
      <c r="R33" s="12">
        <f>138760-119936</f>
        <v>18824</v>
      </c>
      <c r="S33" s="49">
        <f t="shared" si="1"/>
        <v>27198</v>
      </c>
      <c r="T33" s="41"/>
      <c r="U33" s="49">
        <f t="shared" si="2"/>
        <v>16748</v>
      </c>
      <c r="V33" s="49">
        <f t="shared" si="3"/>
        <v>37648</v>
      </c>
      <c r="W33" s="49">
        <f t="shared" si="4"/>
        <v>54396</v>
      </c>
    </row>
    <row r="34" spans="1:23" ht="29.25">
      <c r="A34" s="243" t="s">
        <v>7</v>
      </c>
      <c r="B34" s="124" t="s">
        <v>8</v>
      </c>
      <c r="C34" s="56" t="s">
        <v>387</v>
      </c>
      <c r="D34" s="56"/>
      <c r="E34" s="51"/>
      <c r="F34" s="51" t="s">
        <v>362</v>
      </c>
      <c r="G34" s="51" t="s">
        <v>363</v>
      </c>
      <c r="H34" s="42">
        <v>83294594</v>
      </c>
      <c r="I34" s="302" t="s">
        <v>1590</v>
      </c>
      <c r="J34" s="4" t="s">
        <v>364</v>
      </c>
      <c r="K34" s="58">
        <v>3</v>
      </c>
      <c r="L34" s="41"/>
      <c r="M34" s="12">
        <f>13510-10436</f>
        <v>3074</v>
      </c>
      <c r="N34" s="12">
        <f>24226-19347</f>
        <v>4879</v>
      </c>
      <c r="O34" s="49">
        <f t="shared" si="0"/>
        <v>7953</v>
      </c>
      <c r="P34" s="41"/>
      <c r="Q34" s="12">
        <f>13510-10436</f>
        <v>3074</v>
      </c>
      <c r="R34" s="12">
        <f>24226-19347</f>
        <v>4879</v>
      </c>
      <c r="S34" s="49">
        <f t="shared" si="1"/>
        <v>7953</v>
      </c>
      <c r="T34" s="41"/>
      <c r="U34" s="49">
        <f t="shared" si="2"/>
        <v>6148</v>
      </c>
      <c r="V34" s="49">
        <f t="shared" si="3"/>
        <v>9758</v>
      </c>
      <c r="W34" s="49">
        <f t="shared" si="4"/>
        <v>15906</v>
      </c>
    </row>
    <row r="35" spans="1:23" ht="29.25">
      <c r="A35" s="243" t="s">
        <v>7</v>
      </c>
      <c r="B35" s="124" t="s">
        <v>8</v>
      </c>
      <c r="C35" s="56" t="s">
        <v>360</v>
      </c>
      <c r="D35" s="56" t="s">
        <v>361</v>
      </c>
      <c r="E35" s="51"/>
      <c r="F35" s="51" t="s">
        <v>362</v>
      </c>
      <c r="G35" s="51" t="s">
        <v>363</v>
      </c>
      <c r="H35" s="42">
        <v>91186890</v>
      </c>
      <c r="I35" s="302" t="s">
        <v>1568</v>
      </c>
      <c r="J35" s="4" t="s">
        <v>364</v>
      </c>
      <c r="K35" s="58">
        <v>6</v>
      </c>
      <c r="L35" s="41"/>
      <c r="M35" s="12">
        <f>15952-9139</f>
        <v>6813</v>
      </c>
      <c r="N35" s="12">
        <f>30876-17412</f>
        <v>13464</v>
      </c>
      <c r="O35" s="49">
        <f t="shared" si="0"/>
        <v>20277</v>
      </c>
      <c r="P35" s="41"/>
      <c r="Q35" s="12">
        <f>15952-9139</f>
        <v>6813</v>
      </c>
      <c r="R35" s="12">
        <f>30876-17412</f>
        <v>13464</v>
      </c>
      <c r="S35" s="49">
        <f t="shared" si="1"/>
        <v>20277</v>
      </c>
      <c r="T35" s="41"/>
      <c r="U35" s="49">
        <f t="shared" si="2"/>
        <v>13626</v>
      </c>
      <c r="V35" s="49">
        <f t="shared" si="3"/>
        <v>26928</v>
      </c>
      <c r="W35" s="49">
        <f t="shared" si="4"/>
        <v>40554</v>
      </c>
    </row>
    <row r="36" spans="1:23" ht="29.25">
      <c r="A36" s="243" t="s">
        <v>7</v>
      </c>
      <c r="B36" s="124" t="s">
        <v>8</v>
      </c>
      <c r="C36" s="56" t="s">
        <v>382</v>
      </c>
      <c r="D36" s="56"/>
      <c r="E36" s="51"/>
      <c r="F36" s="51" t="s">
        <v>362</v>
      </c>
      <c r="G36" s="51" t="s">
        <v>363</v>
      </c>
      <c r="H36" s="42">
        <v>71878685</v>
      </c>
      <c r="I36" s="313" t="s">
        <v>1583</v>
      </c>
      <c r="J36" s="4" t="s">
        <v>364</v>
      </c>
      <c r="K36" s="58">
        <v>6</v>
      </c>
      <c r="L36" s="41"/>
      <c r="M36" s="12">
        <f>41104-33255</f>
        <v>7849</v>
      </c>
      <c r="N36" s="12">
        <f>81595-66318</f>
        <v>15277</v>
      </c>
      <c r="O36" s="49">
        <f t="shared" si="0"/>
        <v>23126</v>
      </c>
      <c r="P36" s="41"/>
      <c r="Q36" s="12">
        <f>41104-33255</f>
        <v>7849</v>
      </c>
      <c r="R36" s="12">
        <f>81595-66318</f>
        <v>15277</v>
      </c>
      <c r="S36" s="49">
        <f t="shared" si="1"/>
        <v>23126</v>
      </c>
      <c r="T36" s="41"/>
      <c r="U36" s="49">
        <f t="shared" si="2"/>
        <v>15698</v>
      </c>
      <c r="V36" s="49">
        <f t="shared" si="3"/>
        <v>30554</v>
      </c>
      <c r="W36" s="49">
        <f t="shared" si="4"/>
        <v>46252</v>
      </c>
    </row>
    <row r="37" spans="1:23" ht="29.25">
      <c r="A37" s="243" t="s">
        <v>7</v>
      </c>
      <c r="B37" s="124" t="s">
        <v>8</v>
      </c>
      <c r="C37" s="56" t="s">
        <v>381</v>
      </c>
      <c r="D37" s="56"/>
      <c r="E37" s="51"/>
      <c r="F37" s="51" t="s">
        <v>362</v>
      </c>
      <c r="G37" s="51" t="s">
        <v>363</v>
      </c>
      <c r="H37" s="42">
        <v>90103169</v>
      </c>
      <c r="I37" s="302" t="s">
        <v>1582</v>
      </c>
      <c r="J37" s="4" t="s">
        <v>364</v>
      </c>
      <c r="K37" s="58">
        <v>6</v>
      </c>
      <c r="L37" s="41"/>
      <c r="M37" s="12">
        <f>36364-29822</f>
        <v>6542</v>
      </c>
      <c r="N37" s="12">
        <f>71828-59206</f>
        <v>12622</v>
      </c>
      <c r="O37" s="49">
        <f t="shared" si="0"/>
        <v>19164</v>
      </c>
      <c r="P37" s="41"/>
      <c r="Q37" s="12">
        <f>36364-29822</f>
        <v>6542</v>
      </c>
      <c r="R37" s="12">
        <f>71828-59206</f>
        <v>12622</v>
      </c>
      <c r="S37" s="49">
        <f t="shared" si="1"/>
        <v>19164</v>
      </c>
      <c r="T37" s="41"/>
      <c r="U37" s="49">
        <f t="shared" si="2"/>
        <v>13084</v>
      </c>
      <c r="V37" s="49">
        <f t="shared" si="3"/>
        <v>25244</v>
      </c>
      <c r="W37" s="49">
        <f t="shared" si="4"/>
        <v>38328</v>
      </c>
    </row>
    <row r="38" spans="1:23" ht="29.25">
      <c r="A38" s="243" t="s">
        <v>7</v>
      </c>
      <c r="B38" s="124" t="s">
        <v>8</v>
      </c>
      <c r="C38" s="56" t="s">
        <v>363</v>
      </c>
      <c r="D38" s="56" t="s">
        <v>164</v>
      </c>
      <c r="E38" s="51"/>
      <c r="F38" s="51" t="s">
        <v>362</v>
      </c>
      <c r="G38" s="51" t="s">
        <v>363</v>
      </c>
      <c r="H38" s="42">
        <v>90901033</v>
      </c>
      <c r="I38" s="302" t="s">
        <v>1578</v>
      </c>
      <c r="J38" s="4" t="s">
        <v>364</v>
      </c>
      <c r="K38" s="58">
        <v>6</v>
      </c>
      <c r="L38" s="41"/>
      <c r="M38" s="12">
        <f>20720-12111</f>
        <v>8609</v>
      </c>
      <c r="N38" s="12">
        <f>40325-23132</f>
        <v>17193</v>
      </c>
      <c r="O38" s="49">
        <f t="shared" si="0"/>
        <v>25802</v>
      </c>
      <c r="P38" s="41"/>
      <c r="Q38" s="12">
        <f>20720-12111</f>
        <v>8609</v>
      </c>
      <c r="R38" s="12">
        <f>40325-23132</f>
        <v>17193</v>
      </c>
      <c r="S38" s="49">
        <f t="shared" si="1"/>
        <v>25802</v>
      </c>
      <c r="T38" s="41"/>
      <c r="U38" s="49">
        <f t="shared" si="2"/>
        <v>17218</v>
      </c>
      <c r="V38" s="49">
        <f t="shared" si="3"/>
        <v>34386</v>
      </c>
      <c r="W38" s="49">
        <f t="shared" si="4"/>
        <v>51604</v>
      </c>
    </row>
    <row r="39" spans="1:23" ht="29.25">
      <c r="A39" s="243" t="s">
        <v>7</v>
      </c>
      <c r="B39" s="124" t="s">
        <v>8</v>
      </c>
      <c r="C39" s="56" t="s">
        <v>386</v>
      </c>
      <c r="D39" s="56"/>
      <c r="E39" s="51"/>
      <c r="F39" s="51" t="s">
        <v>362</v>
      </c>
      <c r="G39" s="51" t="s">
        <v>363</v>
      </c>
      <c r="H39" s="42">
        <v>90102092</v>
      </c>
      <c r="I39" s="313" t="s">
        <v>1589</v>
      </c>
      <c r="J39" s="4" t="s">
        <v>364</v>
      </c>
      <c r="K39" s="58">
        <v>12</v>
      </c>
      <c r="L39" s="41"/>
      <c r="M39" s="12">
        <f>28509-22121</f>
        <v>6388</v>
      </c>
      <c r="N39" s="12">
        <f>56707-44019</f>
        <v>12688</v>
      </c>
      <c r="O39" s="49">
        <f t="shared" si="0"/>
        <v>19076</v>
      </c>
      <c r="P39" s="41"/>
      <c r="Q39" s="12">
        <f>28509-22121</f>
        <v>6388</v>
      </c>
      <c r="R39" s="12">
        <f>56707-44019</f>
        <v>12688</v>
      </c>
      <c r="S39" s="49">
        <f t="shared" si="1"/>
        <v>19076</v>
      </c>
      <c r="T39" s="41"/>
      <c r="U39" s="49">
        <f t="shared" si="2"/>
        <v>12776</v>
      </c>
      <c r="V39" s="49">
        <f t="shared" si="3"/>
        <v>25376</v>
      </c>
      <c r="W39" s="49">
        <f t="shared" si="4"/>
        <v>38152</v>
      </c>
    </row>
    <row r="40" spans="1:23" ht="29.25">
      <c r="A40" s="243" t="s">
        <v>7</v>
      </c>
      <c r="B40" s="124" t="s">
        <v>8</v>
      </c>
      <c r="C40" s="56" t="s">
        <v>363</v>
      </c>
      <c r="D40" s="56" t="s">
        <v>378</v>
      </c>
      <c r="E40" s="51"/>
      <c r="F40" s="51" t="s">
        <v>362</v>
      </c>
      <c r="G40" s="51" t="s">
        <v>363</v>
      </c>
      <c r="H40" s="42">
        <v>70849250</v>
      </c>
      <c r="I40" s="302" t="s">
        <v>1577</v>
      </c>
      <c r="J40" s="4" t="s">
        <v>364</v>
      </c>
      <c r="K40" s="58">
        <v>6</v>
      </c>
      <c r="L40" s="41"/>
      <c r="M40" s="12">
        <f>65638-57788</f>
        <v>7850</v>
      </c>
      <c r="N40" s="12">
        <f>132296-115759</f>
        <v>16537</v>
      </c>
      <c r="O40" s="49">
        <f t="shared" si="0"/>
        <v>24387</v>
      </c>
      <c r="P40" s="41"/>
      <c r="Q40" s="12">
        <f>65638-57788</f>
        <v>7850</v>
      </c>
      <c r="R40" s="12">
        <f>132296-115759</f>
        <v>16537</v>
      </c>
      <c r="S40" s="49">
        <f t="shared" si="1"/>
        <v>24387</v>
      </c>
      <c r="T40" s="41"/>
      <c r="U40" s="49">
        <f t="shared" si="2"/>
        <v>15700</v>
      </c>
      <c r="V40" s="49">
        <f t="shared" si="3"/>
        <v>33074</v>
      </c>
      <c r="W40" s="49">
        <f t="shared" si="4"/>
        <v>48774</v>
      </c>
    </row>
    <row r="41" spans="1:23" ht="29.25">
      <c r="A41" s="243" t="s">
        <v>7</v>
      </c>
      <c r="B41" s="124" t="s">
        <v>8</v>
      </c>
      <c r="C41" s="56" t="s">
        <v>384</v>
      </c>
      <c r="D41" s="56"/>
      <c r="E41" s="51"/>
      <c r="F41" s="51" t="s">
        <v>362</v>
      </c>
      <c r="G41" s="51" t="s">
        <v>363</v>
      </c>
      <c r="H41" s="42">
        <v>83698119</v>
      </c>
      <c r="I41" s="302" t="s">
        <v>1586</v>
      </c>
      <c r="J41" s="4" t="s">
        <v>364</v>
      </c>
      <c r="K41" s="58">
        <v>3</v>
      </c>
      <c r="L41" s="41"/>
      <c r="M41" s="12">
        <f>10734-7613</f>
        <v>3121</v>
      </c>
      <c r="N41" s="12">
        <f>20314-13848</f>
        <v>6466</v>
      </c>
      <c r="O41" s="49">
        <f t="shared" si="0"/>
        <v>9587</v>
      </c>
      <c r="P41" s="41"/>
      <c r="Q41" s="12">
        <f>10734-7613</f>
        <v>3121</v>
      </c>
      <c r="R41" s="12">
        <f>20314-13848</f>
        <v>6466</v>
      </c>
      <c r="S41" s="49">
        <f t="shared" si="1"/>
        <v>9587</v>
      </c>
      <c r="T41" s="41"/>
      <c r="U41" s="49">
        <f t="shared" si="2"/>
        <v>6242</v>
      </c>
      <c r="V41" s="49">
        <f t="shared" si="3"/>
        <v>12932</v>
      </c>
      <c r="W41" s="49">
        <f t="shared" si="4"/>
        <v>19174</v>
      </c>
    </row>
    <row r="42" spans="1:23" ht="29.25">
      <c r="A42" s="243" t="s">
        <v>7</v>
      </c>
      <c r="B42" s="124" t="s">
        <v>8</v>
      </c>
      <c r="C42" s="56" t="s">
        <v>360</v>
      </c>
      <c r="D42" s="56" t="s">
        <v>204</v>
      </c>
      <c r="E42" s="51"/>
      <c r="F42" s="51" t="s">
        <v>362</v>
      </c>
      <c r="G42" s="51" t="s">
        <v>363</v>
      </c>
      <c r="H42" s="42">
        <v>90107669</v>
      </c>
      <c r="I42" s="313" t="s">
        <v>1585</v>
      </c>
      <c r="J42" s="4" t="s">
        <v>364</v>
      </c>
      <c r="K42" s="58">
        <v>6</v>
      </c>
      <c r="L42" s="41"/>
      <c r="M42" s="12">
        <f>84552-66747</f>
        <v>17805</v>
      </c>
      <c r="N42" s="12">
        <f>161131-126535</f>
        <v>34596</v>
      </c>
      <c r="O42" s="49">
        <f t="shared" si="0"/>
        <v>52401</v>
      </c>
      <c r="P42" s="41"/>
      <c r="Q42" s="12">
        <f>84552-66747</f>
        <v>17805</v>
      </c>
      <c r="R42" s="12">
        <f>161131-126535</f>
        <v>34596</v>
      </c>
      <c r="S42" s="49">
        <f t="shared" si="1"/>
        <v>52401</v>
      </c>
      <c r="T42" s="41"/>
      <c r="U42" s="49">
        <f t="shared" si="2"/>
        <v>35610</v>
      </c>
      <c r="V42" s="49">
        <f t="shared" si="3"/>
        <v>69192</v>
      </c>
      <c r="W42" s="49">
        <f t="shared" si="4"/>
        <v>104802</v>
      </c>
    </row>
    <row r="43" spans="1:23" ht="43.5">
      <c r="A43" s="243" t="s">
        <v>7</v>
      </c>
      <c r="B43" s="124" t="s">
        <v>8</v>
      </c>
      <c r="C43" s="56" t="s">
        <v>363</v>
      </c>
      <c r="D43" s="56" t="s">
        <v>1635</v>
      </c>
      <c r="E43" s="51"/>
      <c r="F43" s="51" t="s">
        <v>362</v>
      </c>
      <c r="G43" s="51" t="s">
        <v>363</v>
      </c>
      <c r="H43" s="42">
        <v>90103894</v>
      </c>
      <c r="I43" s="302" t="s">
        <v>1571</v>
      </c>
      <c r="J43" s="4" t="s">
        <v>364</v>
      </c>
      <c r="K43" s="58">
        <v>6</v>
      </c>
      <c r="L43" s="41"/>
      <c r="M43" s="12">
        <f>31731-25438</f>
        <v>6293</v>
      </c>
      <c r="N43" s="12">
        <f>60413-48096</f>
        <v>12317</v>
      </c>
      <c r="O43" s="49">
        <f t="shared" si="0"/>
        <v>18610</v>
      </c>
      <c r="P43" s="41"/>
      <c r="Q43" s="12">
        <f>31731-25438</f>
        <v>6293</v>
      </c>
      <c r="R43" s="12">
        <f>60413-48096</f>
        <v>12317</v>
      </c>
      <c r="S43" s="49">
        <f t="shared" si="1"/>
        <v>18610</v>
      </c>
      <c r="T43" s="41"/>
      <c r="U43" s="49">
        <f t="shared" si="2"/>
        <v>12586</v>
      </c>
      <c r="V43" s="49">
        <f t="shared" si="3"/>
        <v>24634</v>
      </c>
      <c r="W43" s="49">
        <f t="shared" si="4"/>
        <v>37220</v>
      </c>
    </row>
    <row r="44" spans="1:23" ht="29.25">
      <c r="A44" s="243" t="s">
        <v>7</v>
      </c>
      <c r="B44" s="124" t="s">
        <v>8</v>
      </c>
      <c r="C44" s="56" t="s">
        <v>385</v>
      </c>
      <c r="D44" s="56"/>
      <c r="E44" s="51"/>
      <c r="F44" s="51" t="s">
        <v>362</v>
      </c>
      <c r="G44" s="51" t="s">
        <v>363</v>
      </c>
      <c r="H44" s="42">
        <v>83294609</v>
      </c>
      <c r="I44" s="302" t="s">
        <v>1587</v>
      </c>
      <c r="J44" s="4" t="s">
        <v>364</v>
      </c>
      <c r="K44" s="58">
        <v>3</v>
      </c>
      <c r="L44" s="41"/>
      <c r="M44" s="12">
        <f>12148-9625</f>
        <v>2523</v>
      </c>
      <c r="N44" s="12">
        <f>27798-21954</f>
        <v>5844</v>
      </c>
      <c r="O44" s="49">
        <f t="shared" si="0"/>
        <v>8367</v>
      </c>
      <c r="P44" s="41"/>
      <c r="Q44" s="12">
        <f>12148-9625</f>
        <v>2523</v>
      </c>
      <c r="R44" s="12">
        <f>27798-21954</f>
        <v>5844</v>
      </c>
      <c r="S44" s="49">
        <f t="shared" si="1"/>
        <v>8367</v>
      </c>
      <c r="T44" s="41"/>
      <c r="U44" s="49">
        <f t="shared" si="2"/>
        <v>5046</v>
      </c>
      <c r="V44" s="49">
        <f t="shared" si="3"/>
        <v>11688</v>
      </c>
      <c r="W44" s="49">
        <f t="shared" si="4"/>
        <v>16734</v>
      </c>
    </row>
    <row r="45" spans="1:23" ht="29.25">
      <c r="A45" s="243" t="s">
        <v>7</v>
      </c>
      <c r="B45" s="124" t="s">
        <v>8</v>
      </c>
      <c r="C45" s="56" t="s">
        <v>371</v>
      </c>
      <c r="D45" s="56"/>
      <c r="E45" s="51"/>
      <c r="F45" s="51" t="s">
        <v>362</v>
      </c>
      <c r="G45" s="51" t="s">
        <v>363</v>
      </c>
      <c r="H45" s="42">
        <v>91043017</v>
      </c>
      <c r="I45" s="313" t="s">
        <v>1564</v>
      </c>
      <c r="J45" s="4" t="s">
        <v>364</v>
      </c>
      <c r="K45" s="58">
        <v>6</v>
      </c>
      <c r="L45" s="41"/>
      <c r="M45" s="12">
        <f>17025-11665</f>
        <v>5360</v>
      </c>
      <c r="N45" s="12">
        <f>28970-19149</f>
        <v>9821</v>
      </c>
      <c r="O45" s="49">
        <f t="shared" si="0"/>
        <v>15181</v>
      </c>
      <c r="P45" s="41"/>
      <c r="Q45" s="12">
        <f>17025-11665</f>
        <v>5360</v>
      </c>
      <c r="R45" s="12">
        <f>28970-19149</f>
        <v>9821</v>
      </c>
      <c r="S45" s="49">
        <f t="shared" si="1"/>
        <v>15181</v>
      </c>
      <c r="T45" s="41"/>
      <c r="U45" s="49">
        <f t="shared" si="2"/>
        <v>10720</v>
      </c>
      <c r="V45" s="49">
        <f t="shared" si="3"/>
        <v>19642</v>
      </c>
      <c r="W45" s="49">
        <f t="shared" si="4"/>
        <v>30362</v>
      </c>
    </row>
    <row r="46" spans="1:23" ht="29.25">
      <c r="A46" s="243" t="s">
        <v>7</v>
      </c>
      <c r="B46" s="124" t="s">
        <v>8</v>
      </c>
      <c r="C46" s="56" t="s">
        <v>365</v>
      </c>
      <c r="D46" s="56"/>
      <c r="E46" s="51"/>
      <c r="F46" s="51" t="s">
        <v>362</v>
      </c>
      <c r="G46" s="51" t="s">
        <v>363</v>
      </c>
      <c r="H46" s="42">
        <v>83111009</v>
      </c>
      <c r="I46" s="302" t="s">
        <v>1553</v>
      </c>
      <c r="J46" s="4" t="s">
        <v>364</v>
      </c>
      <c r="K46" s="58">
        <v>3</v>
      </c>
      <c r="L46" s="41"/>
      <c r="M46" s="12">
        <f>23377-16265</f>
        <v>7112</v>
      </c>
      <c r="N46" s="12">
        <f>31789-26504</f>
        <v>5285</v>
      </c>
      <c r="O46" s="49">
        <f t="shared" si="0"/>
        <v>12397</v>
      </c>
      <c r="P46" s="41"/>
      <c r="Q46" s="12">
        <f>23377-16265</f>
        <v>7112</v>
      </c>
      <c r="R46" s="12">
        <f>31789-26504</f>
        <v>5285</v>
      </c>
      <c r="S46" s="49">
        <f t="shared" si="1"/>
        <v>12397</v>
      </c>
      <c r="T46" s="41"/>
      <c r="U46" s="49">
        <f t="shared" si="2"/>
        <v>14224</v>
      </c>
      <c r="V46" s="49">
        <f t="shared" si="3"/>
        <v>10570</v>
      </c>
      <c r="W46" s="49">
        <f t="shared" si="4"/>
        <v>24794</v>
      </c>
    </row>
    <row r="47" spans="1:23" ht="29.25">
      <c r="A47" s="243" t="s">
        <v>7</v>
      </c>
      <c r="B47" s="124" t="s">
        <v>8</v>
      </c>
      <c r="C47" s="56" t="s">
        <v>390</v>
      </c>
      <c r="D47" s="56"/>
      <c r="E47" s="51"/>
      <c r="F47" s="51" t="s">
        <v>362</v>
      </c>
      <c r="G47" s="51" t="s">
        <v>363</v>
      </c>
      <c r="H47" s="42">
        <v>90100030</v>
      </c>
      <c r="I47" s="302" t="s">
        <v>1600</v>
      </c>
      <c r="J47" s="4" t="s">
        <v>364</v>
      </c>
      <c r="K47" s="58">
        <v>6</v>
      </c>
      <c r="L47" s="41"/>
      <c r="M47" s="12">
        <f>26715-19096</f>
        <v>7619</v>
      </c>
      <c r="N47" s="12">
        <f>32953-29191</f>
        <v>3762</v>
      </c>
      <c r="O47" s="49">
        <f t="shared" si="0"/>
        <v>11381</v>
      </c>
      <c r="P47" s="41"/>
      <c r="Q47" s="12">
        <f>26715-19096</f>
        <v>7619</v>
      </c>
      <c r="R47" s="12">
        <f>32953-29191</f>
        <v>3762</v>
      </c>
      <c r="S47" s="49">
        <f t="shared" si="1"/>
        <v>11381</v>
      </c>
      <c r="T47" s="41"/>
      <c r="U47" s="49">
        <f t="shared" si="2"/>
        <v>15238</v>
      </c>
      <c r="V47" s="49">
        <f t="shared" si="3"/>
        <v>7524</v>
      </c>
      <c r="W47" s="49">
        <f t="shared" si="4"/>
        <v>22762</v>
      </c>
    </row>
    <row r="48" spans="1:23" ht="29.25">
      <c r="A48" s="243" t="s">
        <v>7</v>
      </c>
      <c r="B48" s="124" t="s">
        <v>8</v>
      </c>
      <c r="C48" s="56" t="s">
        <v>360</v>
      </c>
      <c r="D48" s="56" t="s">
        <v>361</v>
      </c>
      <c r="E48" s="51"/>
      <c r="F48" s="51" t="s">
        <v>362</v>
      </c>
      <c r="G48" s="51" t="s">
        <v>363</v>
      </c>
      <c r="H48" s="42">
        <v>90103724</v>
      </c>
      <c r="I48" s="313" t="s">
        <v>1567</v>
      </c>
      <c r="J48" s="4" t="s">
        <v>364</v>
      </c>
      <c r="K48" s="58">
        <v>6</v>
      </c>
      <c r="L48" s="41"/>
      <c r="M48" s="12">
        <f>34717-28402</f>
        <v>6315</v>
      </c>
      <c r="N48" s="12">
        <f>65483-53672</f>
        <v>11811</v>
      </c>
      <c r="O48" s="49">
        <f t="shared" si="0"/>
        <v>18126</v>
      </c>
      <c r="P48" s="41"/>
      <c r="Q48" s="12">
        <f>34717-28402</f>
        <v>6315</v>
      </c>
      <c r="R48" s="12">
        <f>65483-53672</f>
        <v>11811</v>
      </c>
      <c r="S48" s="49">
        <f t="shared" si="1"/>
        <v>18126</v>
      </c>
      <c r="T48" s="41"/>
      <c r="U48" s="49">
        <f t="shared" si="2"/>
        <v>12630</v>
      </c>
      <c r="V48" s="49">
        <f t="shared" si="3"/>
        <v>23622</v>
      </c>
      <c r="W48" s="49">
        <f t="shared" si="4"/>
        <v>36252</v>
      </c>
    </row>
    <row r="49" spans="1:23" ht="29.25">
      <c r="A49" s="243" t="s">
        <v>7</v>
      </c>
      <c r="B49" s="124" t="s">
        <v>8</v>
      </c>
      <c r="C49" s="56" t="s">
        <v>372</v>
      </c>
      <c r="D49" s="56"/>
      <c r="E49" s="51"/>
      <c r="F49" s="51" t="s">
        <v>362</v>
      </c>
      <c r="G49" s="51" t="s">
        <v>363</v>
      </c>
      <c r="H49" s="42">
        <v>83143322</v>
      </c>
      <c r="I49" s="302" t="s">
        <v>1608</v>
      </c>
      <c r="J49" s="4" t="s">
        <v>364</v>
      </c>
      <c r="K49" s="58">
        <v>3</v>
      </c>
      <c r="L49" s="41"/>
      <c r="M49" s="12">
        <f>47457-30526</f>
        <v>16931</v>
      </c>
      <c r="N49" s="12">
        <f>76038-46994</f>
        <v>29044</v>
      </c>
      <c r="O49" s="49">
        <f t="shared" si="0"/>
        <v>45975</v>
      </c>
      <c r="P49" s="41"/>
      <c r="Q49" s="12">
        <f>47457-30526</f>
        <v>16931</v>
      </c>
      <c r="R49" s="12">
        <f>76038-46994</f>
        <v>29044</v>
      </c>
      <c r="S49" s="49">
        <f t="shared" si="1"/>
        <v>45975</v>
      </c>
      <c r="T49" s="41"/>
      <c r="U49" s="49">
        <f t="shared" si="2"/>
        <v>33862</v>
      </c>
      <c r="V49" s="49">
        <f t="shared" si="3"/>
        <v>58088</v>
      </c>
      <c r="W49" s="49">
        <f t="shared" si="4"/>
        <v>91950</v>
      </c>
    </row>
    <row r="50" spans="1:23" ht="29.25">
      <c r="A50" s="243" t="s">
        <v>7</v>
      </c>
      <c r="B50" s="124" t="s">
        <v>8</v>
      </c>
      <c r="C50" s="56" t="s">
        <v>363</v>
      </c>
      <c r="D50" s="56" t="s">
        <v>368</v>
      </c>
      <c r="E50" s="51"/>
      <c r="F50" s="51" t="s">
        <v>362</v>
      </c>
      <c r="G50" s="51" t="s">
        <v>363</v>
      </c>
      <c r="H50" s="42">
        <v>90103798</v>
      </c>
      <c r="I50" s="302" t="s">
        <v>1558</v>
      </c>
      <c r="J50" s="4" t="s">
        <v>364</v>
      </c>
      <c r="K50" s="58">
        <v>6</v>
      </c>
      <c r="L50" s="41"/>
      <c r="M50" s="12">
        <f>33345-24558</f>
        <v>8787</v>
      </c>
      <c r="N50" s="12">
        <f>58896-43368</f>
        <v>15528</v>
      </c>
      <c r="O50" s="49">
        <f t="shared" si="0"/>
        <v>24315</v>
      </c>
      <c r="P50" s="41"/>
      <c r="Q50" s="12">
        <f>33345-24558</f>
        <v>8787</v>
      </c>
      <c r="R50" s="12">
        <f>58896-43368</f>
        <v>15528</v>
      </c>
      <c r="S50" s="49">
        <f t="shared" si="1"/>
        <v>24315</v>
      </c>
      <c r="T50" s="41"/>
      <c r="U50" s="49">
        <f t="shared" si="2"/>
        <v>17574</v>
      </c>
      <c r="V50" s="49">
        <f t="shared" si="3"/>
        <v>31056</v>
      </c>
      <c r="W50" s="49">
        <f t="shared" si="4"/>
        <v>48630</v>
      </c>
    </row>
    <row r="51" spans="1:23" ht="29.25">
      <c r="A51" s="243" t="s">
        <v>7</v>
      </c>
      <c r="B51" s="124" t="s">
        <v>8</v>
      </c>
      <c r="C51" s="56" t="s">
        <v>370</v>
      </c>
      <c r="D51" s="56"/>
      <c r="E51" s="51"/>
      <c r="F51" s="51" t="s">
        <v>362</v>
      </c>
      <c r="G51" s="51" t="s">
        <v>363</v>
      </c>
      <c r="H51" s="42">
        <v>90138976</v>
      </c>
      <c r="I51" s="313" t="s">
        <v>1562</v>
      </c>
      <c r="J51" s="4" t="s">
        <v>364</v>
      </c>
      <c r="K51" s="58">
        <v>6</v>
      </c>
      <c r="L51" s="41"/>
      <c r="M51" s="12">
        <f>31726-24146</f>
        <v>7580</v>
      </c>
      <c r="N51" s="12">
        <f>45613-30829</f>
        <v>14784</v>
      </c>
      <c r="O51" s="49">
        <f t="shared" si="0"/>
        <v>22364</v>
      </c>
      <c r="P51" s="41"/>
      <c r="Q51" s="12">
        <f>31726-24146</f>
        <v>7580</v>
      </c>
      <c r="R51" s="12">
        <f>45613-30829</f>
        <v>14784</v>
      </c>
      <c r="S51" s="49">
        <f t="shared" si="1"/>
        <v>22364</v>
      </c>
      <c r="T51" s="41"/>
      <c r="U51" s="49">
        <f t="shared" si="2"/>
        <v>15160</v>
      </c>
      <c r="V51" s="49">
        <f t="shared" si="3"/>
        <v>29568</v>
      </c>
      <c r="W51" s="49">
        <f t="shared" si="4"/>
        <v>44728</v>
      </c>
    </row>
    <row r="52" spans="1:23" ht="29.25">
      <c r="A52" s="243" t="s">
        <v>7</v>
      </c>
      <c r="B52" s="124" t="s">
        <v>8</v>
      </c>
      <c r="C52" s="56" t="s">
        <v>363</v>
      </c>
      <c r="D52" s="56" t="s">
        <v>352</v>
      </c>
      <c r="E52" s="51"/>
      <c r="F52" s="51" t="s">
        <v>362</v>
      </c>
      <c r="G52" s="51" t="s">
        <v>363</v>
      </c>
      <c r="H52" s="42">
        <v>90102084</v>
      </c>
      <c r="I52" s="302" t="s">
        <v>1560</v>
      </c>
      <c r="J52" s="4" t="s">
        <v>364</v>
      </c>
      <c r="K52" s="58">
        <v>6</v>
      </c>
      <c r="L52" s="41"/>
      <c r="M52" s="12">
        <f>20384-17723</f>
        <v>2661</v>
      </c>
      <c r="N52" s="12">
        <f>37502-32836</f>
        <v>4666</v>
      </c>
      <c r="O52" s="49">
        <f t="shared" si="0"/>
        <v>7327</v>
      </c>
      <c r="P52" s="41"/>
      <c r="Q52" s="12">
        <f>20384-17723</f>
        <v>2661</v>
      </c>
      <c r="R52" s="12">
        <f>37502-32836</f>
        <v>4666</v>
      </c>
      <c r="S52" s="49">
        <f t="shared" si="1"/>
        <v>7327</v>
      </c>
      <c r="T52" s="41"/>
      <c r="U52" s="49">
        <f t="shared" si="2"/>
        <v>5322</v>
      </c>
      <c r="V52" s="49">
        <f t="shared" si="3"/>
        <v>9332</v>
      </c>
      <c r="W52" s="49">
        <f t="shared" si="4"/>
        <v>14654</v>
      </c>
    </row>
    <row r="53" spans="1:23" ht="29.25">
      <c r="A53" s="243" t="s">
        <v>7</v>
      </c>
      <c r="B53" s="124" t="s">
        <v>8</v>
      </c>
      <c r="C53" s="56" t="s">
        <v>391</v>
      </c>
      <c r="D53" s="56"/>
      <c r="E53" s="51"/>
      <c r="F53" s="51" t="s">
        <v>362</v>
      </c>
      <c r="G53" s="51" t="s">
        <v>363</v>
      </c>
      <c r="H53" s="42">
        <v>90110108</v>
      </c>
      <c r="I53" s="302" t="s">
        <v>1594</v>
      </c>
      <c r="J53" s="4" t="s">
        <v>364</v>
      </c>
      <c r="K53" s="58">
        <v>6</v>
      </c>
      <c r="L53" s="41"/>
      <c r="M53" s="12">
        <f>37080-24690</f>
        <v>12390</v>
      </c>
      <c r="N53" s="12">
        <f>33547-22499</f>
        <v>11048</v>
      </c>
      <c r="O53" s="49">
        <f t="shared" si="0"/>
        <v>23438</v>
      </c>
      <c r="P53" s="41"/>
      <c r="Q53" s="12">
        <f>37080-24690</f>
        <v>12390</v>
      </c>
      <c r="R53" s="12">
        <f>33547-22499</f>
        <v>11048</v>
      </c>
      <c r="S53" s="49">
        <f t="shared" si="1"/>
        <v>23438</v>
      </c>
      <c r="T53" s="41"/>
      <c r="U53" s="49">
        <f t="shared" si="2"/>
        <v>24780</v>
      </c>
      <c r="V53" s="49">
        <f t="shared" si="3"/>
        <v>22096</v>
      </c>
      <c r="W53" s="49">
        <f t="shared" si="4"/>
        <v>46876</v>
      </c>
    </row>
    <row r="54" spans="1:23" ht="29.25">
      <c r="A54" s="243" t="s">
        <v>7</v>
      </c>
      <c r="B54" s="124" t="s">
        <v>8</v>
      </c>
      <c r="C54" s="56" t="s">
        <v>372</v>
      </c>
      <c r="D54" s="56"/>
      <c r="E54" s="51"/>
      <c r="F54" s="51" t="s">
        <v>362</v>
      </c>
      <c r="G54" s="51" t="s">
        <v>363</v>
      </c>
      <c r="H54" s="42">
        <v>83294576</v>
      </c>
      <c r="I54" s="313" t="s">
        <v>1565</v>
      </c>
      <c r="J54" s="4" t="s">
        <v>364</v>
      </c>
      <c r="K54" s="58">
        <v>3</v>
      </c>
      <c r="L54" s="41"/>
      <c r="M54" s="12">
        <f>16225-13146</f>
        <v>3079</v>
      </c>
      <c r="N54" s="12">
        <f>33185-26605</f>
        <v>6580</v>
      </c>
      <c r="O54" s="49">
        <f t="shared" si="0"/>
        <v>9659</v>
      </c>
      <c r="P54" s="41"/>
      <c r="Q54" s="12">
        <f>16225-13146</f>
        <v>3079</v>
      </c>
      <c r="R54" s="12">
        <f>33185-26605</f>
        <v>6580</v>
      </c>
      <c r="S54" s="49">
        <f t="shared" si="1"/>
        <v>9659</v>
      </c>
      <c r="T54" s="41"/>
      <c r="U54" s="49">
        <f t="shared" si="2"/>
        <v>6158</v>
      </c>
      <c r="V54" s="49">
        <f t="shared" si="3"/>
        <v>13160</v>
      </c>
      <c r="W54" s="49">
        <f t="shared" si="4"/>
        <v>19318</v>
      </c>
    </row>
    <row r="55" spans="1:23" ht="29.25">
      <c r="A55" s="243" t="s">
        <v>7</v>
      </c>
      <c r="B55" s="124" t="s">
        <v>8</v>
      </c>
      <c r="C55" s="56" t="s">
        <v>392</v>
      </c>
      <c r="D55" s="56"/>
      <c r="E55" s="51"/>
      <c r="F55" s="51" t="s">
        <v>362</v>
      </c>
      <c r="G55" s="51" t="s">
        <v>363</v>
      </c>
      <c r="H55" s="42">
        <v>83294533</v>
      </c>
      <c r="I55" s="302" t="s">
        <v>1615</v>
      </c>
      <c r="J55" s="4" t="s">
        <v>364</v>
      </c>
      <c r="K55" s="58">
        <v>2</v>
      </c>
      <c r="L55" s="41"/>
      <c r="M55" s="12">
        <f>8930-7323</f>
        <v>1607</v>
      </c>
      <c r="N55" s="12">
        <f>17246-14157</f>
        <v>3089</v>
      </c>
      <c r="O55" s="49">
        <f t="shared" si="0"/>
        <v>4696</v>
      </c>
      <c r="P55" s="41"/>
      <c r="Q55" s="12">
        <f>8930-7323</f>
        <v>1607</v>
      </c>
      <c r="R55" s="12">
        <f>17246-14157</f>
        <v>3089</v>
      </c>
      <c r="S55" s="49">
        <f t="shared" si="1"/>
        <v>4696</v>
      </c>
      <c r="T55" s="41"/>
      <c r="U55" s="49">
        <f t="shared" si="2"/>
        <v>3214</v>
      </c>
      <c r="V55" s="49">
        <f t="shared" si="3"/>
        <v>6178</v>
      </c>
      <c r="W55" s="49">
        <f t="shared" si="4"/>
        <v>9392</v>
      </c>
    </row>
    <row r="56" spans="1:23" ht="29.25">
      <c r="A56" s="243" t="s">
        <v>7</v>
      </c>
      <c r="B56" s="124" t="s">
        <v>8</v>
      </c>
      <c r="C56" s="56" t="s">
        <v>384</v>
      </c>
      <c r="D56" s="56" t="s">
        <v>82</v>
      </c>
      <c r="E56" s="51">
        <v>31</v>
      </c>
      <c r="F56" s="51" t="s">
        <v>362</v>
      </c>
      <c r="G56" s="51" t="s">
        <v>363</v>
      </c>
      <c r="H56" s="42">
        <v>124331</v>
      </c>
      <c r="I56" s="302" t="s">
        <v>1625</v>
      </c>
      <c r="J56" s="4" t="s">
        <v>364</v>
      </c>
      <c r="K56" s="58">
        <v>1</v>
      </c>
      <c r="L56" s="41"/>
      <c r="M56" s="12">
        <f>3601-2724</f>
        <v>877</v>
      </c>
      <c r="N56" s="12">
        <f>5366-4816</f>
        <v>550</v>
      </c>
      <c r="O56" s="49">
        <f t="shared" si="0"/>
        <v>1427</v>
      </c>
      <c r="P56" s="41"/>
      <c r="Q56" s="12">
        <f>3601-2724</f>
        <v>877</v>
      </c>
      <c r="R56" s="12">
        <f>5366-4816</f>
        <v>550</v>
      </c>
      <c r="S56" s="49">
        <f t="shared" si="1"/>
        <v>1427</v>
      </c>
      <c r="T56" s="41"/>
      <c r="U56" s="49">
        <f t="shared" si="2"/>
        <v>1754</v>
      </c>
      <c r="V56" s="49">
        <f t="shared" si="3"/>
        <v>1100</v>
      </c>
      <c r="W56" s="49">
        <f t="shared" si="4"/>
        <v>2854</v>
      </c>
    </row>
    <row r="57" spans="1:23" ht="29.25">
      <c r="A57" s="243" t="s">
        <v>7</v>
      </c>
      <c r="B57" s="124" t="s">
        <v>8</v>
      </c>
      <c r="C57" s="56" t="s">
        <v>390</v>
      </c>
      <c r="D57" s="56" t="s">
        <v>406</v>
      </c>
      <c r="E57" s="51"/>
      <c r="F57" s="51" t="s">
        <v>362</v>
      </c>
      <c r="G57" s="51" t="s">
        <v>363</v>
      </c>
      <c r="H57" s="42">
        <v>9440452</v>
      </c>
      <c r="I57" s="313" t="s">
        <v>1623</v>
      </c>
      <c r="J57" s="4" t="s">
        <v>364</v>
      </c>
      <c r="K57" s="58">
        <v>2</v>
      </c>
      <c r="L57" s="41"/>
      <c r="M57" s="12">
        <f>26754-22592</f>
        <v>4162</v>
      </c>
      <c r="N57" s="12">
        <f>40517-34033</f>
        <v>6484</v>
      </c>
      <c r="O57" s="49">
        <f t="shared" si="0"/>
        <v>10646</v>
      </c>
      <c r="P57" s="41"/>
      <c r="Q57" s="12">
        <f>26754-22592</f>
        <v>4162</v>
      </c>
      <c r="R57" s="12">
        <f>40517-34033</f>
        <v>6484</v>
      </c>
      <c r="S57" s="49">
        <f t="shared" si="1"/>
        <v>10646</v>
      </c>
      <c r="T57" s="41"/>
      <c r="U57" s="49">
        <f t="shared" si="2"/>
        <v>8324</v>
      </c>
      <c r="V57" s="49">
        <f t="shared" si="3"/>
        <v>12968</v>
      </c>
      <c r="W57" s="49">
        <f t="shared" si="4"/>
        <v>21292</v>
      </c>
    </row>
    <row r="58" spans="1:23" ht="29.25">
      <c r="A58" s="243" t="s">
        <v>7</v>
      </c>
      <c r="B58" s="124" t="s">
        <v>8</v>
      </c>
      <c r="C58" s="56" t="s">
        <v>396</v>
      </c>
      <c r="D58" s="56"/>
      <c r="E58" s="51">
        <v>70</v>
      </c>
      <c r="F58" s="51" t="s">
        <v>362</v>
      </c>
      <c r="G58" s="51" t="s">
        <v>363</v>
      </c>
      <c r="H58" s="42">
        <v>14498201</v>
      </c>
      <c r="I58" s="302" t="s">
        <v>1617</v>
      </c>
      <c r="J58" s="4" t="s">
        <v>364</v>
      </c>
      <c r="K58" s="58">
        <v>1</v>
      </c>
      <c r="L58" s="41"/>
      <c r="M58" s="12">
        <f>29173-25322</f>
        <v>3851</v>
      </c>
      <c r="N58" s="12">
        <f>28628-26117</f>
        <v>2511</v>
      </c>
      <c r="O58" s="49">
        <f t="shared" si="0"/>
        <v>6362</v>
      </c>
      <c r="P58" s="41"/>
      <c r="Q58" s="12">
        <f>29173-25322</f>
        <v>3851</v>
      </c>
      <c r="R58" s="12">
        <f>28628-26117</f>
        <v>2511</v>
      </c>
      <c r="S58" s="49">
        <f t="shared" si="1"/>
        <v>6362</v>
      </c>
      <c r="T58" s="41"/>
      <c r="U58" s="49">
        <f t="shared" si="2"/>
        <v>7702</v>
      </c>
      <c r="V58" s="49">
        <f t="shared" si="3"/>
        <v>5022</v>
      </c>
      <c r="W58" s="49">
        <f t="shared" si="4"/>
        <v>12724</v>
      </c>
    </row>
    <row r="59" spans="1:23" ht="29.25">
      <c r="A59" s="243" t="s">
        <v>7</v>
      </c>
      <c r="B59" s="124" t="s">
        <v>8</v>
      </c>
      <c r="C59" s="56" t="s">
        <v>392</v>
      </c>
      <c r="D59" s="56"/>
      <c r="E59" s="51"/>
      <c r="F59" s="51" t="s">
        <v>362</v>
      </c>
      <c r="G59" s="51" t="s">
        <v>363</v>
      </c>
      <c r="H59" s="42">
        <v>90998739</v>
      </c>
      <c r="I59" s="302" t="s">
        <v>1598</v>
      </c>
      <c r="J59" s="4" t="s">
        <v>364</v>
      </c>
      <c r="K59" s="58">
        <v>2</v>
      </c>
      <c r="L59" s="41"/>
      <c r="M59" s="12">
        <f>16081-12447</f>
        <v>3634</v>
      </c>
      <c r="N59" s="12">
        <f>23547-16700</f>
        <v>6847</v>
      </c>
      <c r="O59" s="49">
        <f t="shared" si="0"/>
        <v>10481</v>
      </c>
      <c r="P59" s="41"/>
      <c r="Q59" s="12">
        <f>16081-12447</f>
        <v>3634</v>
      </c>
      <c r="R59" s="12">
        <f>23547-16700</f>
        <v>6847</v>
      </c>
      <c r="S59" s="49">
        <f t="shared" si="1"/>
        <v>10481</v>
      </c>
      <c r="T59" s="41"/>
      <c r="U59" s="49">
        <f t="shared" si="2"/>
        <v>7268</v>
      </c>
      <c r="V59" s="49">
        <f t="shared" si="3"/>
        <v>13694</v>
      </c>
      <c r="W59" s="49">
        <f t="shared" si="4"/>
        <v>20962</v>
      </c>
    </row>
    <row r="60" spans="1:23" ht="29.25">
      <c r="A60" s="243" t="s">
        <v>7</v>
      </c>
      <c r="B60" s="124" t="s">
        <v>8</v>
      </c>
      <c r="C60" s="56" t="s">
        <v>396</v>
      </c>
      <c r="D60" s="56"/>
      <c r="E60" s="51"/>
      <c r="F60" s="51" t="s">
        <v>362</v>
      </c>
      <c r="G60" s="51" t="s">
        <v>363</v>
      </c>
      <c r="H60" s="42">
        <v>83294583</v>
      </c>
      <c r="I60" s="313" t="s">
        <v>1604</v>
      </c>
      <c r="J60" s="4" t="s">
        <v>364</v>
      </c>
      <c r="K60" s="58">
        <v>3</v>
      </c>
      <c r="L60" s="41"/>
      <c r="M60" s="12">
        <f>17937-14113</f>
        <v>3824</v>
      </c>
      <c r="N60" s="12">
        <f>35521-24400</f>
        <v>11121</v>
      </c>
      <c r="O60" s="49">
        <f t="shared" si="0"/>
        <v>14945</v>
      </c>
      <c r="P60" s="41"/>
      <c r="Q60" s="12">
        <f>17937-14113</f>
        <v>3824</v>
      </c>
      <c r="R60" s="12">
        <f>35521-24400</f>
        <v>11121</v>
      </c>
      <c r="S60" s="49">
        <f t="shared" si="1"/>
        <v>14945</v>
      </c>
      <c r="T60" s="41"/>
      <c r="U60" s="49">
        <f t="shared" si="2"/>
        <v>7648</v>
      </c>
      <c r="V60" s="49">
        <f t="shared" si="3"/>
        <v>22242</v>
      </c>
      <c r="W60" s="49">
        <f t="shared" si="4"/>
        <v>29890</v>
      </c>
    </row>
    <row r="61" spans="1:23" ht="29.25">
      <c r="A61" s="243" t="s">
        <v>7</v>
      </c>
      <c r="B61" s="124" t="s">
        <v>8</v>
      </c>
      <c r="C61" s="56" t="s">
        <v>372</v>
      </c>
      <c r="D61" s="56" t="s">
        <v>402</v>
      </c>
      <c r="E61" s="51"/>
      <c r="F61" s="51" t="s">
        <v>362</v>
      </c>
      <c r="G61" s="51" t="s">
        <v>363</v>
      </c>
      <c r="H61" s="42">
        <v>89002307</v>
      </c>
      <c r="I61" s="302" t="s">
        <v>1612</v>
      </c>
      <c r="J61" s="4" t="s">
        <v>364</v>
      </c>
      <c r="K61" s="58">
        <v>1</v>
      </c>
      <c r="L61" s="41"/>
      <c r="M61" s="12">
        <f>27197-22757</f>
        <v>4440</v>
      </c>
      <c r="N61" s="12">
        <f>52829-44701</f>
        <v>8128</v>
      </c>
      <c r="O61" s="49">
        <f t="shared" si="0"/>
        <v>12568</v>
      </c>
      <c r="P61" s="41"/>
      <c r="Q61" s="12">
        <f>27197-22757</f>
        <v>4440</v>
      </c>
      <c r="R61" s="12">
        <f>52829-44701</f>
        <v>8128</v>
      </c>
      <c r="S61" s="49">
        <f t="shared" si="1"/>
        <v>12568</v>
      </c>
      <c r="T61" s="41"/>
      <c r="U61" s="49">
        <f t="shared" si="2"/>
        <v>8880</v>
      </c>
      <c r="V61" s="49">
        <f t="shared" si="3"/>
        <v>16256</v>
      </c>
      <c r="W61" s="49">
        <f t="shared" si="4"/>
        <v>25136</v>
      </c>
    </row>
    <row r="62" spans="1:23" ht="29.25">
      <c r="A62" s="243" t="s">
        <v>7</v>
      </c>
      <c r="B62" s="124" t="s">
        <v>8</v>
      </c>
      <c r="C62" s="56" t="s">
        <v>370</v>
      </c>
      <c r="D62" s="56"/>
      <c r="E62" s="51"/>
      <c r="F62" s="51" t="s">
        <v>362</v>
      </c>
      <c r="G62" s="51" t="s">
        <v>363</v>
      </c>
      <c r="H62" s="42">
        <v>91001711</v>
      </c>
      <c r="I62" s="302" t="s">
        <v>1563</v>
      </c>
      <c r="J62" s="4" t="s">
        <v>364</v>
      </c>
      <c r="K62" s="58">
        <v>6</v>
      </c>
      <c r="L62" s="41"/>
      <c r="M62" s="12">
        <f>19002-11876</f>
        <v>7126</v>
      </c>
      <c r="N62" s="12">
        <f>31182-18982</f>
        <v>12200</v>
      </c>
      <c r="O62" s="49">
        <f t="shared" si="0"/>
        <v>19326</v>
      </c>
      <c r="P62" s="41"/>
      <c r="Q62" s="12">
        <f>19002-11876</f>
        <v>7126</v>
      </c>
      <c r="R62" s="12">
        <f>31182-18982</f>
        <v>12200</v>
      </c>
      <c r="S62" s="49">
        <f t="shared" si="1"/>
        <v>19326</v>
      </c>
      <c r="T62" s="41"/>
      <c r="U62" s="49">
        <f t="shared" si="2"/>
        <v>14252</v>
      </c>
      <c r="V62" s="49">
        <f t="shared" si="3"/>
        <v>24400</v>
      </c>
      <c r="W62" s="49">
        <f t="shared" si="4"/>
        <v>38652</v>
      </c>
    </row>
    <row r="63" spans="1:23" ht="29.25">
      <c r="A63" s="243" t="s">
        <v>7</v>
      </c>
      <c r="B63" s="124" t="s">
        <v>8</v>
      </c>
      <c r="C63" s="56" t="s">
        <v>370</v>
      </c>
      <c r="D63" s="56" t="s">
        <v>407</v>
      </c>
      <c r="E63" s="51" t="s">
        <v>408</v>
      </c>
      <c r="F63" s="51" t="s">
        <v>362</v>
      </c>
      <c r="G63" s="51" t="s">
        <v>363</v>
      </c>
      <c r="H63" s="42">
        <v>90089753</v>
      </c>
      <c r="I63" s="313" t="s">
        <v>1624</v>
      </c>
      <c r="J63" s="4" t="s">
        <v>364</v>
      </c>
      <c r="K63" s="58">
        <v>2</v>
      </c>
      <c r="L63" s="41"/>
      <c r="M63" s="12">
        <f>20495-10312</f>
        <v>10183</v>
      </c>
      <c r="N63" s="12">
        <f>34907-16471</f>
        <v>18436</v>
      </c>
      <c r="O63" s="49">
        <f t="shared" si="0"/>
        <v>28619</v>
      </c>
      <c r="P63" s="41"/>
      <c r="Q63" s="12">
        <f>20495-10312</f>
        <v>10183</v>
      </c>
      <c r="R63" s="12">
        <f>34907-16471</f>
        <v>18436</v>
      </c>
      <c r="S63" s="49">
        <f t="shared" si="1"/>
        <v>28619</v>
      </c>
      <c r="T63" s="41"/>
      <c r="U63" s="49">
        <f t="shared" si="2"/>
        <v>20366</v>
      </c>
      <c r="V63" s="49">
        <f t="shared" si="3"/>
        <v>36872</v>
      </c>
      <c r="W63" s="49">
        <f t="shared" si="4"/>
        <v>57238</v>
      </c>
    </row>
    <row r="64" spans="1:23" ht="29.25">
      <c r="A64" s="243" t="s">
        <v>7</v>
      </c>
      <c r="B64" s="124" t="s">
        <v>8</v>
      </c>
      <c r="C64" s="56" t="s">
        <v>390</v>
      </c>
      <c r="D64" s="56"/>
      <c r="E64" s="51"/>
      <c r="F64" s="51" t="s">
        <v>362</v>
      </c>
      <c r="G64" s="51" t="s">
        <v>363</v>
      </c>
      <c r="H64" s="42">
        <v>83143343</v>
      </c>
      <c r="I64" s="302" t="s">
        <v>1593</v>
      </c>
      <c r="J64" s="4" t="s">
        <v>364</v>
      </c>
      <c r="K64" s="58">
        <v>3</v>
      </c>
      <c r="L64" s="41"/>
      <c r="M64" s="12">
        <f>14026-10560</f>
        <v>3466</v>
      </c>
      <c r="N64" s="12">
        <f>24251-18054</f>
        <v>6197</v>
      </c>
      <c r="O64" s="49">
        <f t="shared" si="0"/>
        <v>9663</v>
      </c>
      <c r="P64" s="41"/>
      <c r="Q64" s="12">
        <f>14026-10560</f>
        <v>3466</v>
      </c>
      <c r="R64" s="12">
        <f>24251-18054</f>
        <v>6197</v>
      </c>
      <c r="S64" s="49">
        <f t="shared" si="1"/>
        <v>9663</v>
      </c>
      <c r="T64" s="41"/>
      <c r="U64" s="49">
        <f t="shared" si="2"/>
        <v>6932</v>
      </c>
      <c r="V64" s="49">
        <f t="shared" si="3"/>
        <v>12394</v>
      </c>
      <c r="W64" s="49">
        <f t="shared" si="4"/>
        <v>19326</v>
      </c>
    </row>
    <row r="65" spans="1:23" ht="29.25">
      <c r="A65" s="243" t="s">
        <v>7</v>
      </c>
      <c r="B65" s="124" t="s">
        <v>8</v>
      </c>
      <c r="C65" s="56" t="s">
        <v>390</v>
      </c>
      <c r="D65" s="56"/>
      <c r="E65" s="51"/>
      <c r="F65" s="51" t="s">
        <v>362</v>
      </c>
      <c r="G65" s="51" t="s">
        <v>363</v>
      </c>
      <c r="H65" s="42">
        <v>90031505</v>
      </c>
      <c r="I65" s="302" t="s">
        <v>1611</v>
      </c>
      <c r="J65" s="4" t="s">
        <v>364</v>
      </c>
      <c r="K65" s="58">
        <v>2</v>
      </c>
      <c r="L65" s="41"/>
      <c r="M65" s="12">
        <f>67503-64686</f>
        <v>2817</v>
      </c>
      <c r="N65" s="12">
        <f>39546-33933</f>
        <v>5613</v>
      </c>
      <c r="O65" s="49">
        <f t="shared" si="0"/>
        <v>8430</v>
      </c>
      <c r="P65" s="41"/>
      <c r="Q65" s="12">
        <f>67503-64686</f>
        <v>2817</v>
      </c>
      <c r="R65" s="12">
        <f>39546-33933</f>
        <v>5613</v>
      </c>
      <c r="S65" s="49">
        <f t="shared" si="1"/>
        <v>8430</v>
      </c>
      <c r="T65" s="41"/>
      <c r="U65" s="49">
        <f t="shared" si="2"/>
        <v>5634</v>
      </c>
      <c r="V65" s="49">
        <f t="shared" si="3"/>
        <v>11226</v>
      </c>
      <c r="W65" s="49">
        <f t="shared" si="4"/>
        <v>16860</v>
      </c>
    </row>
    <row r="66" spans="1:23" ht="29.25">
      <c r="A66" s="243" t="s">
        <v>7</v>
      </c>
      <c r="B66" s="124" t="s">
        <v>8</v>
      </c>
      <c r="C66" s="56" t="s">
        <v>398</v>
      </c>
      <c r="D66" s="56"/>
      <c r="E66" s="51"/>
      <c r="F66" s="51" t="s">
        <v>362</v>
      </c>
      <c r="G66" s="51" t="s">
        <v>363</v>
      </c>
      <c r="H66" s="42">
        <v>83294574</v>
      </c>
      <c r="I66" s="313" t="s">
        <v>1609</v>
      </c>
      <c r="J66" s="4" t="s">
        <v>364</v>
      </c>
      <c r="K66" s="58">
        <v>4</v>
      </c>
      <c r="L66" s="41"/>
      <c r="M66" s="12">
        <f>4900-3760</f>
        <v>1140</v>
      </c>
      <c r="N66" s="12">
        <f>8647-7141</f>
        <v>1506</v>
      </c>
      <c r="O66" s="49">
        <f t="shared" si="0"/>
        <v>2646</v>
      </c>
      <c r="P66" s="41"/>
      <c r="Q66" s="12">
        <f>4900-3760</f>
        <v>1140</v>
      </c>
      <c r="R66" s="12">
        <f>8647-7141</f>
        <v>1506</v>
      </c>
      <c r="S66" s="49">
        <f t="shared" si="1"/>
        <v>2646</v>
      </c>
      <c r="T66" s="41"/>
      <c r="U66" s="49">
        <f t="shared" si="2"/>
        <v>2280</v>
      </c>
      <c r="V66" s="49">
        <f t="shared" si="3"/>
        <v>3012</v>
      </c>
      <c r="W66" s="49">
        <f t="shared" si="4"/>
        <v>5292</v>
      </c>
    </row>
    <row r="67" spans="1:23" ht="29.25">
      <c r="A67" s="243" t="s">
        <v>7</v>
      </c>
      <c r="B67" s="124" t="s">
        <v>8</v>
      </c>
      <c r="C67" s="56" t="s">
        <v>388</v>
      </c>
      <c r="D67" s="56"/>
      <c r="E67" s="51"/>
      <c r="F67" s="51" t="s">
        <v>362</v>
      </c>
      <c r="G67" s="51" t="s">
        <v>363</v>
      </c>
      <c r="H67" s="42">
        <v>89115183</v>
      </c>
      <c r="I67" s="302" t="s">
        <v>1605</v>
      </c>
      <c r="J67" s="4" t="s">
        <v>364</v>
      </c>
      <c r="K67" s="58">
        <v>3</v>
      </c>
      <c r="L67" s="41"/>
      <c r="M67" s="12">
        <f>4420-2677</f>
        <v>1743</v>
      </c>
      <c r="N67" s="12">
        <f>8305-4766</f>
        <v>3539</v>
      </c>
      <c r="O67" s="49">
        <f t="shared" si="0"/>
        <v>5282</v>
      </c>
      <c r="P67" s="41"/>
      <c r="Q67" s="12">
        <f>4420-2677</f>
        <v>1743</v>
      </c>
      <c r="R67" s="12">
        <f>8305-4766</f>
        <v>3539</v>
      </c>
      <c r="S67" s="49">
        <f t="shared" si="1"/>
        <v>5282</v>
      </c>
      <c r="T67" s="41"/>
      <c r="U67" s="49">
        <f t="shared" si="2"/>
        <v>3486</v>
      </c>
      <c r="V67" s="49">
        <f t="shared" si="3"/>
        <v>7078</v>
      </c>
      <c r="W67" s="49">
        <f t="shared" si="4"/>
        <v>10564</v>
      </c>
    </row>
    <row r="68" spans="1:23" ht="29.25">
      <c r="A68" s="243" t="s">
        <v>7</v>
      </c>
      <c r="B68" s="124" t="s">
        <v>8</v>
      </c>
      <c r="C68" s="56" t="s">
        <v>383</v>
      </c>
      <c r="D68" s="56" t="s">
        <v>393</v>
      </c>
      <c r="E68" s="51">
        <v>2</v>
      </c>
      <c r="F68" s="51" t="s">
        <v>362</v>
      </c>
      <c r="G68" s="51" t="s">
        <v>363</v>
      </c>
      <c r="H68" s="42">
        <v>90643722</v>
      </c>
      <c r="I68" s="302" t="s">
        <v>1597</v>
      </c>
      <c r="J68" s="4" t="s">
        <v>364</v>
      </c>
      <c r="K68" s="58">
        <v>2</v>
      </c>
      <c r="L68" s="41"/>
      <c r="M68" s="12">
        <f>23189-15323</f>
        <v>7866</v>
      </c>
      <c r="N68" s="12">
        <f>41987-26765</f>
        <v>15222</v>
      </c>
      <c r="O68" s="49">
        <f t="shared" si="0"/>
        <v>23088</v>
      </c>
      <c r="P68" s="41"/>
      <c r="Q68" s="12">
        <f>23189-15323</f>
        <v>7866</v>
      </c>
      <c r="R68" s="12">
        <f>41987-26765</f>
        <v>15222</v>
      </c>
      <c r="S68" s="49">
        <f t="shared" si="1"/>
        <v>23088</v>
      </c>
      <c r="T68" s="41"/>
      <c r="U68" s="49">
        <f t="shared" si="2"/>
        <v>15732</v>
      </c>
      <c r="V68" s="49">
        <f t="shared" si="3"/>
        <v>30444</v>
      </c>
      <c r="W68" s="49">
        <f t="shared" si="4"/>
        <v>46176</v>
      </c>
    </row>
    <row r="69" spans="1:23" ht="29.25">
      <c r="A69" s="243" t="s">
        <v>7</v>
      </c>
      <c r="B69" s="124" t="s">
        <v>8</v>
      </c>
      <c r="C69" s="56" t="s">
        <v>360</v>
      </c>
      <c r="D69" s="56" t="s">
        <v>74</v>
      </c>
      <c r="E69" s="51"/>
      <c r="F69" s="51" t="s">
        <v>362</v>
      </c>
      <c r="G69" s="51" t="s">
        <v>363</v>
      </c>
      <c r="H69" s="42">
        <v>91150385</v>
      </c>
      <c r="I69" s="313" t="s">
        <v>1556</v>
      </c>
      <c r="J69" s="4" t="s">
        <v>364</v>
      </c>
      <c r="K69" s="58">
        <v>7.6</v>
      </c>
      <c r="L69" s="41"/>
      <c r="M69" s="12">
        <f>24425-14520</f>
        <v>9905</v>
      </c>
      <c r="N69" s="12">
        <f>39488-22230</f>
        <v>17258</v>
      </c>
      <c r="O69" s="49">
        <f t="shared" si="0"/>
        <v>27163</v>
      </c>
      <c r="P69" s="41"/>
      <c r="Q69" s="12">
        <f>24425-14520</f>
        <v>9905</v>
      </c>
      <c r="R69" s="12">
        <f>39488-22230</f>
        <v>17258</v>
      </c>
      <c r="S69" s="49">
        <f t="shared" si="1"/>
        <v>27163</v>
      </c>
      <c r="T69" s="41"/>
      <c r="U69" s="49">
        <f t="shared" si="2"/>
        <v>19810</v>
      </c>
      <c r="V69" s="49">
        <f t="shared" si="3"/>
        <v>34516</v>
      </c>
      <c r="W69" s="49">
        <f t="shared" si="4"/>
        <v>54326</v>
      </c>
    </row>
    <row r="70" spans="1:23" ht="29.25">
      <c r="A70" s="243" t="s">
        <v>7</v>
      </c>
      <c r="B70" s="124" t="s">
        <v>8</v>
      </c>
      <c r="C70" s="56" t="s">
        <v>360</v>
      </c>
      <c r="D70" s="56" t="s">
        <v>361</v>
      </c>
      <c r="E70" s="51"/>
      <c r="F70" s="51" t="s">
        <v>362</v>
      </c>
      <c r="G70" s="51" t="s">
        <v>363</v>
      </c>
      <c r="H70" s="42">
        <v>83294601</v>
      </c>
      <c r="I70" s="302" t="s">
        <v>1552</v>
      </c>
      <c r="J70" s="4" t="s">
        <v>364</v>
      </c>
      <c r="K70" s="58">
        <v>3</v>
      </c>
      <c r="L70" s="41"/>
      <c r="M70" s="12">
        <f>1688-1251</f>
        <v>437</v>
      </c>
      <c r="N70" s="12">
        <f>3256-2667</f>
        <v>589</v>
      </c>
      <c r="O70" s="49">
        <f t="shared" si="0"/>
        <v>1026</v>
      </c>
      <c r="P70" s="41"/>
      <c r="Q70" s="12">
        <f>1688-1251</f>
        <v>437</v>
      </c>
      <c r="R70" s="12">
        <f>3256-2667</f>
        <v>589</v>
      </c>
      <c r="S70" s="49">
        <f t="shared" si="1"/>
        <v>1026</v>
      </c>
      <c r="T70" s="41"/>
      <c r="U70" s="49">
        <f t="shared" si="2"/>
        <v>874</v>
      </c>
      <c r="V70" s="49">
        <f t="shared" si="3"/>
        <v>1178</v>
      </c>
      <c r="W70" s="49">
        <f t="shared" si="4"/>
        <v>2052</v>
      </c>
    </row>
    <row r="71" spans="1:23" ht="29.25">
      <c r="A71" s="243" t="s">
        <v>7</v>
      </c>
      <c r="B71" s="124" t="s">
        <v>8</v>
      </c>
      <c r="C71" s="56" t="s">
        <v>381</v>
      </c>
      <c r="D71" s="56" t="s">
        <v>57</v>
      </c>
      <c r="E71" s="51"/>
      <c r="F71" s="51" t="s">
        <v>362</v>
      </c>
      <c r="G71" s="51" t="s">
        <v>363</v>
      </c>
      <c r="H71" s="42">
        <v>83111228</v>
      </c>
      <c r="I71" s="302" t="s">
        <v>1606</v>
      </c>
      <c r="J71" s="4" t="s">
        <v>364</v>
      </c>
      <c r="K71" s="58">
        <v>3</v>
      </c>
      <c r="L71" s="41"/>
      <c r="M71" s="12">
        <f>4113-3493</f>
        <v>620</v>
      </c>
      <c r="N71" s="12">
        <f>4507-3378</f>
        <v>1129</v>
      </c>
      <c r="O71" s="49">
        <f t="shared" si="0"/>
        <v>1749</v>
      </c>
      <c r="P71" s="41"/>
      <c r="Q71" s="12">
        <f>4113-3493</f>
        <v>620</v>
      </c>
      <c r="R71" s="12">
        <f>4507-3378</f>
        <v>1129</v>
      </c>
      <c r="S71" s="49">
        <f t="shared" si="1"/>
        <v>1749</v>
      </c>
      <c r="T71" s="41"/>
      <c r="U71" s="49">
        <f t="shared" si="2"/>
        <v>1240</v>
      </c>
      <c r="V71" s="49">
        <f t="shared" si="3"/>
        <v>2258</v>
      </c>
      <c r="W71" s="49">
        <f t="shared" si="4"/>
        <v>3498</v>
      </c>
    </row>
    <row r="72" spans="1:23" ht="29.25">
      <c r="A72" s="243" t="s">
        <v>7</v>
      </c>
      <c r="B72" s="124" t="s">
        <v>8</v>
      </c>
      <c r="C72" s="56" t="s">
        <v>388</v>
      </c>
      <c r="D72" s="56" t="s">
        <v>412</v>
      </c>
      <c r="E72" s="51"/>
      <c r="F72" s="51" t="s">
        <v>362</v>
      </c>
      <c r="G72" s="51" t="s">
        <v>363</v>
      </c>
      <c r="H72" s="42">
        <v>102311</v>
      </c>
      <c r="I72" s="313" t="s">
        <v>1630</v>
      </c>
      <c r="J72" s="4" t="s">
        <v>364</v>
      </c>
      <c r="K72" s="58">
        <v>2</v>
      </c>
      <c r="L72" s="41"/>
      <c r="M72" s="12">
        <f>20812-16466</f>
        <v>4346</v>
      </c>
      <c r="N72" s="12">
        <f>39501-33496</f>
        <v>6005</v>
      </c>
      <c r="O72" s="49">
        <f t="shared" si="0"/>
        <v>10351</v>
      </c>
      <c r="P72" s="41"/>
      <c r="Q72" s="12">
        <f>20812-16466</f>
        <v>4346</v>
      </c>
      <c r="R72" s="12">
        <f>39501-33496</f>
        <v>6005</v>
      </c>
      <c r="S72" s="49">
        <f t="shared" si="1"/>
        <v>10351</v>
      </c>
      <c r="T72" s="41"/>
      <c r="U72" s="49">
        <f t="shared" si="2"/>
        <v>8692</v>
      </c>
      <c r="V72" s="49">
        <f t="shared" si="3"/>
        <v>12010</v>
      </c>
      <c r="W72" s="49">
        <f t="shared" si="4"/>
        <v>20702</v>
      </c>
    </row>
    <row r="73" spans="1:23" ht="29.25">
      <c r="A73" s="243" t="s">
        <v>7</v>
      </c>
      <c r="B73" s="124" t="s">
        <v>8</v>
      </c>
      <c r="C73" s="56" t="s">
        <v>372</v>
      </c>
      <c r="D73" s="56" t="s">
        <v>204</v>
      </c>
      <c r="E73" s="51"/>
      <c r="F73" s="51" t="s">
        <v>362</v>
      </c>
      <c r="G73" s="51" t="s">
        <v>363</v>
      </c>
      <c r="H73" s="42">
        <v>90104506</v>
      </c>
      <c r="I73" s="302" t="s">
        <v>1601</v>
      </c>
      <c r="J73" s="4" t="s">
        <v>364</v>
      </c>
      <c r="K73" s="58">
        <v>2</v>
      </c>
      <c r="L73" s="41"/>
      <c r="M73" s="12">
        <f>33252-26398</f>
        <v>6854</v>
      </c>
      <c r="N73" s="12">
        <f>59351-47216</f>
        <v>12135</v>
      </c>
      <c r="O73" s="49">
        <f t="shared" si="0"/>
        <v>18989</v>
      </c>
      <c r="P73" s="41"/>
      <c r="Q73" s="12">
        <f>33252-26398</f>
        <v>6854</v>
      </c>
      <c r="R73" s="12">
        <f>59351-47216</f>
        <v>12135</v>
      </c>
      <c r="S73" s="49">
        <f t="shared" si="1"/>
        <v>18989</v>
      </c>
      <c r="T73" s="41"/>
      <c r="U73" s="49">
        <f t="shared" si="2"/>
        <v>13708</v>
      </c>
      <c r="V73" s="49">
        <f t="shared" si="3"/>
        <v>24270</v>
      </c>
      <c r="W73" s="49">
        <f t="shared" si="4"/>
        <v>37978</v>
      </c>
    </row>
    <row r="74" spans="1:23" ht="29.25">
      <c r="A74" s="243" t="s">
        <v>7</v>
      </c>
      <c r="B74" s="124" t="s">
        <v>8</v>
      </c>
      <c r="C74" s="56" t="s">
        <v>363</v>
      </c>
      <c r="D74" s="56" t="s">
        <v>369</v>
      </c>
      <c r="E74" s="51"/>
      <c r="F74" s="51" t="s">
        <v>362</v>
      </c>
      <c r="G74" s="51" t="s">
        <v>363</v>
      </c>
      <c r="H74" s="42">
        <v>83294379</v>
      </c>
      <c r="I74" s="302" t="s">
        <v>1559</v>
      </c>
      <c r="J74" s="4" t="s">
        <v>364</v>
      </c>
      <c r="K74" s="58">
        <v>3.2</v>
      </c>
      <c r="L74" s="41"/>
      <c r="M74" s="12">
        <f>9972-7468</f>
        <v>2504</v>
      </c>
      <c r="N74" s="12">
        <f>15430-12650</f>
        <v>2780</v>
      </c>
      <c r="O74" s="49">
        <f t="shared" si="0"/>
        <v>5284</v>
      </c>
      <c r="P74" s="41"/>
      <c r="Q74" s="12">
        <f>9972-7468</f>
        <v>2504</v>
      </c>
      <c r="R74" s="12">
        <f>15430-12650</f>
        <v>2780</v>
      </c>
      <c r="S74" s="49">
        <f t="shared" si="1"/>
        <v>5284</v>
      </c>
      <c r="T74" s="41"/>
      <c r="U74" s="49">
        <f t="shared" si="2"/>
        <v>5008</v>
      </c>
      <c r="V74" s="49">
        <f t="shared" si="3"/>
        <v>5560</v>
      </c>
      <c r="W74" s="49">
        <f t="shared" si="4"/>
        <v>10568</v>
      </c>
    </row>
    <row r="75" spans="1:23" ht="29.25">
      <c r="A75" s="243" t="s">
        <v>7</v>
      </c>
      <c r="B75" s="124" t="s">
        <v>8</v>
      </c>
      <c r="C75" s="56" t="s">
        <v>363</v>
      </c>
      <c r="D75" s="56" t="s">
        <v>366</v>
      </c>
      <c r="E75" s="51"/>
      <c r="F75" s="51" t="s">
        <v>362</v>
      </c>
      <c r="G75" s="51" t="s">
        <v>363</v>
      </c>
      <c r="H75" s="42">
        <v>90104550</v>
      </c>
      <c r="I75" s="313" t="s">
        <v>1555</v>
      </c>
      <c r="J75" s="4" t="s">
        <v>364</v>
      </c>
      <c r="K75" s="58">
        <v>6</v>
      </c>
      <c r="L75" s="41"/>
      <c r="M75" s="12">
        <f>16266-12665</f>
        <v>3601</v>
      </c>
      <c r="N75" s="12">
        <f>27994-22657</f>
        <v>5337</v>
      </c>
      <c r="O75" s="49">
        <f t="shared" si="0"/>
        <v>8938</v>
      </c>
      <c r="P75" s="41"/>
      <c r="Q75" s="12">
        <f>16266-12665</f>
        <v>3601</v>
      </c>
      <c r="R75" s="12">
        <f>27994-22657</f>
        <v>5337</v>
      </c>
      <c r="S75" s="49">
        <f t="shared" si="1"/>
        <v>8938</v>
      </c>
      <c r="T75" s="41"/>
      <c r="U75" s="49">
        <f t="shared" si="2"/>
        <v>7202</v>
      </c>
      <c r="V75" s="49">
        <f t="shared" si="3"/>
        <v>10674</v>
      </c>
      <c r="W75" s="49">
        <f t="shared" si="4"/>
        <v>17876</v>
      </c>
    </row>
    <row r="76" spans="1:23" ht="29.25">
      <c r="A76" s="243" t="s">
        <v>7</v>
      </c>
      <c r="B76" s="124" t="s">
        <v>8</v>
      </c>
      <c r="C76" s="56" t="s">
        <v>390</v>
      </c>
      <c r="D76" s="56"/>
      <c r="E76" s="51"/>
      <c r="F76" s="51" t="s">
        <v>362</v>
      </c>
      <c r="G76" s="51" t="s">
        <v>363</v>
      </c>
      <c r="H76" s="42">
        <v>90073953</v>
      </c>
      <c r="I76" s="302" t="s">
        <v>1614</v>
      </c>
      <c r="J76" s="4" t="s">
        <v>364</v>
      </c>
      <c r="K76" s="58">
        <v>7</v>
      </c>
      <c r="L76" s="41"/>
      <c r="M76" s="12">
        <f>26723-21895</f>
        <v>4828</v>
      </c>
      <c r="N76" s="12">
        <f>53994-44022</f>
        <v>9972</v>
      </c>
      <c r="O76" s="49">
        <f t="shared" si="0"/>
        <v>14800</v>
      </c>
      <c r="P76" s="41"/>
      <c r="Q76" s="12">
        <f>26723-21895</f>
        <v>4828</v>
      </c>
      <c r="R76" s="12">
        <f>53994-44022</f>
        <v>9972</v>
      </c>
      <c r="S76" s="49">
        <f t="shared" si="1"/>
        <v>14800</v>
      </c>
      <c r="T76" s="41"/>
      <c r="U76" s="49">
        <f t="shared" si="2"/>
        <v>9656</v>
      </c>
      <c r="V76" s="49">
        <f t="shared" si="3"/>
        <v>19944</v>
      </c>
      <c r="W76" s="49">
        <f t="shared" si="4"/>
        <v>29600</v>
      </c>
    </row>
    <row r="77" spans="1:23" ht="29.25">
      <c r="A77" s="243" t="s">
        <v>7</v>
      </c>
      <c r="B77" s="124" t="s">
        <v>8</v>
      </c>
      <c r="C77" s="56" t="s">
        <v>392</v>
      </c>
      <c r="D77" s="56"/>
      <c r="E77" s="51"/>
      <c r="F77" s="51" t="s">
        <v>362</v>
      </c>
      <c r="G77" s="51" t="s">
        <v>363</v>
      </c>
      <c r="H77" s="42">
        <v>1547465</v>
      </c>
      <c r="I77" s="302" t="s">
        <v>1595</v>
      </c>
      <c r="J77" s="4" t="s">
        <v>364</v>
      </c>
      <c r="K77" s="58">
        <v>3</v>
      </c>
      <c r="L77" s="41"/>
      <c r="M77" s="12">
        <f>12766-10722</f>
        <v>2044</v>
      </c>
      <c r="N77" s="12">
        <f>24098-20240</f>
        <v>3858</v>
      </c>
      <c r="O77" s="49">
        <f t="shared" si="0"/>
        <v>5902</v>
      </c>
      <c r="P77" s="41"/>
      <c r="Q77" s="12">
        <f>12766-10722</f>
        <v>2044</v>
      </c>
      <c r="R77" s="12">
        <f>24098-20240</f>
        <v>3858</v>
      </c>
      <c r="S77" s="49">
        <f t="shared" si="1"/>
        <v>5902</v>
      </c>
      <c r="T77" s="41"/>
      <c r="U77" s="49">
        <f t="shared" si="2"/>
        <v>4088</v>
      </c>
      <c r="V77" s="49">
        <f t="shared" si="3"/>
        <v>7716</v>
      </c>
      <c r="W77" s="49">
        <f t="shared" si="4"/>
        <v>11804</v>
      </c>
    </row>
    <row r="78" spans="1:23" ht="29.25">
      <c r="A78" s="243" t="s">
        <v>7</v>
      </c>
      <c r="B78" s="124" t="s">
        <v>8</v>
      </c>
      <c r="C78" s="56" t="s">
        <v>411</v>
      </c>
      <c r="D78" s="56"/>
      <c r="E78" s="51"/>
      <c r="F78" s="51" t="s">
        <v>362</v>
      </c>
      <c r="G78" s="51" t="s">
        <v>363</v>
      </c>
      <c r="H78" s="42">
        <v>102310</v>
      </c>
      <c r="I78" s="313" t="s">
        <v>1629</v>
      </c>
      <c r="J78" s="4" t="s">
        <v>364</v>
      </c>
      <c r="K78" s="58">
        <v>3</v>
      </c>
      <c r="L78" s="41"/>
      <c r="M78" s="12">
        <f>12887-10811</f>
        <v>2076</v>
      </c>
      <c r="N78" s="12">
        <f>26521-22039</f>
        <v>4482</v>
      </c>
      <c r="O78" s="49">
        <f t="shared" si="0"/>
        <v>6558</v>
      </c>
      <c r="P78" s="41"/>
      <c r="Q78" s="12">
        <f>12887-10811</f>
        <v>2076</v>
      </c>
      <c r="R78" s="12">
        <f>26521-22039</f>
        <v>4482</v>
      </c>
      <c r="S78" s="49">
        <f t="shared" si="1"/>
        <v>6558</v>
      </c>
      <c r="T78" s="41"/>
      <c r="U78" s="49">
        <f t="shared" si="2"/>
        <v>4152</v>
      </c>
      <c r="V78" s="49">
        <f t="shared" si="3"/>
        <v>8964</v>
      </c>
      <c r="W78" s="49">
        <f t="shared" si="4"/>
        <v>13116</v>
      </c>
    </row>
    <row r="79" spans="1:23" ht="29.25">
      <c r="A79" s="243" t="s">
        <v>7</v>
      </c>
      <c r="B79" s="124" t="s">
        <v>8</v>
      </c>
      <c r="C79" s="56" t="s">
        <v>360</v>
      </c>
      <c r="D79" s="56" t="s">
        <v>361</v>
      </c>
      <c r="E79" s="51"/>
      <c r="F79" s="51" t="s">
        <v>362</v>
      </c>
      <c r="G79" s="51" t="s">
        <v>363</v>
      </c>
      <c r="H79" s="42">
        <v>90069825</v>
      </c>
      <c r="I79" s="302" t="s">
        <v>1566</v>
      </c>
      <c r="J79" s="4" t="s">
        <v>364</v>
      </c>
      <c r="K79" s="58">
        <v>6</v>
      </c>
      <c r="L79" s="41"/>
      <c r="M79" s="12">
        <f>15306-11675</f>
        <v>3631</v>
      </c>
      <c r="N79" s="12">
        <f>22399-15131</f>
        <v>7268</v>
      </c>
      <c r="O79" s="49">
        <f t="shared" si="0"/>
        <v>10899</v>
      </c>
      <c r="P79" s="41"/>
      <c r="Q79" s="12">
        <f>15306-11675</f>
        <v>3631</v>
      </c>
      <c r="R79" s="12">
        <f>22399-15131</f>
        <v>7268</v>
      </c>
      <c r="S79" s="49">
        <f t="shared" si="1"/>
        <v>10899</v>
      </c>
      <c r="T79" s="41"/>
      <c r="U79" s="49">
        <f t="shared" si="2"/>
        <v>7262</v>
      </c>
      <c r="V79" s="49">
        <f t="shared" si="3"/>
        <v>14536</v>
      </c>
      <c r="W79" s="49">
        <f t="shared" si="4"/>
        <v>21798</v>
      </c>
    </row>
    <row r="80" spans="1:23" ht="29.25">
      <c r="A80" s="243" t="s">
        <v>7</v>
      </c>
      <c r="B80" s="124" t="s">
        <v>8</v>
      </c>
      <c r="C80" s="56" t="s">
        <v>363</v>
      </c>
      <c r="D80" s="56" t="s">
        <v>405</v>
      </c>
      <c r="E80" s="51"/>
      <c r="F80" s="51" t="s">
        <v>362</v>
      </c>
      <c r="G80" s="51" t="s">
        <v>363</v>
      </c>
      <c r="H80" s="42">
        <v>83294595</v>
      </c>
      <c r="I80" s="302" t="s">
        <v>1619</v>
      </c>
      <c r="J80" s="4" t="s">
        <v>364</v>
      </c>
      <c r="K80" s="58">
        <v>1</v>
      </c>
      <c r="L80" s="41"/>
      <c r="M80" s="12">
        <f>2766-2201</f>
        <v>565</v>
      </c>
      <c r="N80" s="12">
        <f>5584-4499</f>
        <v>1085</v>
      </c>
      <c r="O80" s="49">
        <f t="shared" si="0"/>
        <v>1650</v>
      </c>
      <c r="P80" s="41"/>
      <c r="Q80" s="12">
        <f>2766-2201</f>
        <v>565</v>
      </c>
      <c r="R80" s="12">
        <f>5584-4499</f>
        <v>1085</v>
      </c>
      <c r="S80" s="49">
        <f t="shared" si="1"/>
        <v>1650</v>
      </c>
      <c r="T80" s="41"/>
      <c r="U80" s="49">
        <f t="shared" si="2"/>
        <v>1130</v>
      </c>
      <c r="V80" s="49">
        <f t="shared" si="3"/>
        <v>2170</v>
      </c>
      <c r="W80" s="49">
        <f t="shared" si="4"/>
        <v>3300</v>
      </c>
    </row>
    <row r="81" spans="1:23" ht="29.25">
      <c r="A81" s="243" t="s">
        <v>7</v>
      </c>
      <c r="B81" s="124" t="s">
        <v>8</v>
      </c>
      <c r="C81" s="56" t="s">
        <v>379</v>
      </c>
      <c r="D81" s="56"/>
      <c r="E81" s="51"/>
      <c r="F81" s="51" t="s">
        <v>362</v>
      </c>
      <c r="G81" s="51" t="s">
        <v>363</v>
      </c>
      <c r="H81" s="42">
        <v>90071447</v>
      </c>
      <c r="I81" s="313" t="s">
        <v>1613</v>
      </c>
      <c r="J81" s="4" t="s">
        <v>364</v>
      </c>
      <c r="K81" s="58">
        <v>1</v>
      </c>
      <c r="L81" s="41"/>
      <c r="M81" s="12">
        <f>9190-7628</f>
        <v>1562</v>
      </c>
      <c r="N81" s="12">
        <f>18610-15608</f>
        <v>3002</v>
      </c>
      <c r="O81" s="49">
        <f t="shared" si="0"/>
        <v>4564</v>
      </c>
      <c r="P81" s="41"/>
      <c r="Q81" s="12">
        <f>9190-7628</f>
        <v>1562</v>
      </c>
      <c r="R81" s="12">
        <f>18610-15608</f>
        <v>3002</v>
      </c>
      <c r="S81" s="49">
        <f t="shared" si="1"/>
        <v>4564</v>
      </c>
      <c r="T81" s="41"/>
      <c r="U81" s="49">
        <f t="shared" si="2"/>
        <v>3124</v>
      </c>
      <c r="V81" s="49">
        <f t="shared" si="3"/>
        <v>6004</v>
      </c>
      <c r="W81" s="49">
        <f t="shared" si="4"/>
        <v>9128</v>
      </c>
    </row>
    <row r="82" spans="1:23" ht="29.25">
      <c r="A82" s="243" t="s">
        <v>7</v>
      </c>
      <c r="B82" s="124" t="s">
        <v>8</v>
      </c>
      <c r="C82" s="56" t="s">
        <v>2233</v>
      </c>
      <c r="D82" s="56"/>
      <c r="E82" s="317" t="s">
        <v>1731</v>
      </c>
      <c r="F82" s="51" t="s">
        <v>362</v>
      </c>
      <c r="G82" s="51" t="s">
        <v>363</v>
      </c>
      <c r="H82" s="42">
        <v>83294585</v>
      </c>
      <c r="I82" s="302" t="s">
        <v>1554</v>
      </c>
      <c r="J82" s="4" t="s">
        <v>364</v>
      </c>
      <c r="K82" s="58">
        <v>3</v>
      </c>
      <c r="L82" s="41"/>
      <c r="M82" s="12">
        <f>11441-8668</f>
        <v>2773</v>
      </c>
      <c r="N82" s="12">
        <f>21870-17751</f>
        <v>4119</v>
      </c>
      <c r="O82" s="49">
        <f t="shared" si="0"/>
        <v>6892</v>
      </c>
      <c r="P82" s="41"/>
      <c r="Q82" s="12">
        <f>11441-8668</f>
        <v>2773</v>
      </c>
      <c r="R82" s="12">
        <f>21870-17751</f>
        <v>4119</v>
      </c>
      <c r="S82" s="49">
        <f t="shared" si="1"/>
        <v>6892</v>
      </c>
      <c r="T82" s="41"/>
      <c r="U82" s="49">
        <f t="shared" si="2"/>
        <v>5546</v>
      </c>
      <c r="V82" s="49">
        <f t="shared" si="3"/>
        <v>8238</v>
      </c>
      <c r="W82" s="49">
        <f t="shared" si="4"/>
        <v>13784</v>
      </c>
    </row>
    <row r="83" spans="1:23" ht="29.25">
      <c r="A83" s="243" t="s">
        <v>7</v>
      </c>
      <c r="B83" s="124" t="s">
        <v>8</v>
      </c>
      <c r="C83" s="56" t="s">
        <v>396</v>
      </c>
      <c r="D83" s="56"/>
      <c r="E83" s="51" t="s">
        <v>404</v>
      </c>
      <c r="F83" s="51" t="s">
        <v>362</v>
      </c>
      <c r="G83" s="51" t="s">
        <v>363</v>
      </c>
      <c r="H83" s="42">
        <v>83294559</v>
      </c>
      <c r="I83" s="302" t="s">
        <v>1618</v>
      </c>
      <c r="J83" s="4" t="s">
        <v>364</v>
      </c>
      <c r="K83" s="58">
        <v>1</v>
      </c>
      <c r="L83" s="41"/>
      <c r="M83" s="12">
        <f>5942-4489</f>
        <v>1453</v>
      </c>
      <c r="N83" s="12">
        <f>10387-8430</f>
        <v>1957</v>
      </c>
      <c r="O83" s="49">
        <f aca="true" t="shared" si="5" ref="O83:O123">SUM(M83:N83)</f>
        <v>3410</v>
      </c>
      <c r="P83" s="41"/>
      <c r="Q83" s="12">
        <f>5942-4489</f>
        <v>1453</v>
      </c>
      <c r="R83" s="12">
        <f>10387-8430</f>
        <v>1957</v>
      </c>
      <c r="S83" s="49">
        <f aca="true" t="shared" si="6" ref="S83:S123">SUM(Q83:R83)</f>
        <v>3410</v>
      </c>
      <c r="T83" s="41"/>
      <c r="U83" s="49">
        <f aca="true" t="shared" si="7" ref="U83:U123">M83+Q83</f>
        <v>2906</v>
      </c>
      <c r="V83" s="49">
        <f aca="true" t="shared" si="8" ref="V83:V123">N83+R83</f>
        <v>3914</v>
      </c>
      <c r="W83" s="49">
        <f aca="true" t="shared" si="9" ref="W83:W123">SUM(U83:V83)</f>
        <v>6820</v>
      </c>
    </row>
    <row r="84" spans="1:23" ht="29.25">
      <c r="A84" s="243" t="s">
        <v>7</v>
      </c>
      <c r="B84" s="124" t="s">
        <v>8</v>
      </c>
      <c r="C84" s="56" t="s">
        <v>370</v>
      </c>
      <c r="D84" s="56" t="s">
        <v>1621</v>
      </c>
      <c r="E84" s="51"/>
      <c r="F84" s="51" t="s">
        <v>362</v>
      </c>
      <c r="G84" s="51" t="s">
        <v>363</v>
      </c>
      <c r="H84" s="42">
        <v>90093142</v>
      </c>
      <c r="I84" s="313" t="s">
        <v>1622</v>
      </c>
      <c r="J84" s="4" t="s">
        <v>364</v>
      </c>
      <c r="K84" s="58">
        <v>2</v>
      </c>
      <c r="L84" s="41"/>
      <c r="M84" s="12">
        <f>8801-6198</f>
        <v>2603</v>
      </c>
      <c r="N84" s="12">
        <f>7360-5924</f>
        <v>1436</v>
      </c>
      <c r="O84" s="49">
        <f t="shared" si="5"/>
        <v>4039</v>
      </c>
      <c r="P84" s="41"/>
      <c r="Q84" s="12">
        <f>8801-6198</f>
        <v>2603</v>
      </c>
      <c r="R84" s="12">
        <f>7360-5924</f>
        <v>1436</v>
      </c>
      <c r="S84" s="49">
        <f t="shared" si="6"/>
        <v>4039</v>
      </c>
      <c r="T84" s="41"/>
      <c r="U84" s="49">
        <f t="shared" si="7"/>
        <v>5206</v>
      </c>
      <c r="V84" s="49">
        <f t="shared" si="8"/>
        <v>2872</v>
      </c>
      <c r="W84" s="49">
        <f t="shared" si="9"/>
        <v>8078</v>
      </c>
    </row>
    <row r="85" spans="1:23" ht="29.25">
      <c r="A85" s="243" t="s">
        <v>7</v>
      </c>
      <c r="B85" s="124" t="s">
        <v>8</v>
      </c>
      <c r="C85" s="56" t="s">
        <v>382</v>
      </c>
      <c r="D85" s="56"/>
      <c r="E85" s="51"/>
      <c r="F85" s="51" t="s">
        <v>362</v>
      </c>
      <c r="G85" s="51" t="s">
        <v>363</v>
      </c>
      <c r="H85" s="42">
        <v>83294620</v>
      </c>
      <c r="I85" s="302" t="s">
        <v>1596</v>
      </c>
      <c r="J85" s="4" t="s">
        <v>364</v>
      </c>
      <c r="K85" s="58">
        <v>3</v>
      </c>
      <c r="L85" s="41"/>
      <c r="M85" s="12">
        <f>13215-10837</f>
        <v>2378</v>
      </c>
      <c r="N85" s="12">
        <f>28484-23095</f>
        <v>5389</v>
      </c>
      <c r="O85" s="49">
        <f t="shared" si="5"/>
        <v>7767</v>
      </c>
      <c r="P85" s="41"/>
      <c r="Q85" s="12">
        <f>13215-10837</f>
        <v>2378</v>
      </c>
      <c r="R85" s="12">
        <f>28484-23095</f>
        <v>5389</v>
      </c>
      <c r="S85" s="49">
        <f t="shared" si="6"/>
        <v>7767</v>
      </c>
      <c r="T85" s="41"/>
      <c r="U85" s="49">
        <f t="shared" si="7"/>
        <v>4756</v>
      </c>
      <c r="V85" s="49">
        <f t="shared" si="8"/>
        <v>10778</v>
      </c>
      <c r="W85" s="49">
        <f t="shared" si="9"/>
        <v>15534</v>
      </c>
    </row>
    <row r="86" spans="1:23" ht="29.25">
      <c r="A86" s="243" t="s">
        <v>7</v>
      </c>
      <c r="B86" s="124" t="s">
        <v>8</v>
      </c>
      <c r="C86" s="56" t="s">
        <v>399</v>
      </c>
      <c r="D86" s="56"/>
      <c r="E86" s="51"/>
      <c r="F86" s="51" t="s">
        <v>400</v>
      </c>
      <c r="G86" s="51" t="s">
        <v>401</v>
      </c>
      <c r="H86" s="42">
        <v>90071258</v>
      </c>
      <c r="I86" s="302" t="s">
        <v>1610</v>
      </c>
      <c r="J86" s="4" t="s">
        <v>364</v>
      </c>
      <c r="K86" s="58">
        <v>6</v>
      </c>
      <c r="L86" s="41"/>
      <c r="M86" s="12">
        <f>11310-9135</f>
        <v>2175</v>
      </c>
      <c r="N86" s="12">
        <f>21510-17476</f>
        <v>4034</v>
      </c>
      <c r="O86" s="49">
        <f t="shared" si="5"/>
        <v>6209</v>
      </c>
      <c r="P86" s="41"/>
      <c r="Q86" s="12">
        <f>11310-9135</f>
        <v>2175</v>
      </c>
      <c r="R86" s="12">
        <f>21510-17476</f>
        <v>4034</v>
      </c>
      <c r="S86" s="49">
        <f t="shared" si="6"/>
        <v>6209</v>
      </c>
      <c r="T86" s="41"/>
      <c r="U86" s="49">
        <f t="shared" si="7"/>
        <v>4350</v>
      </c>
      <c r="V86" s="49">
        <f t="shared" si="8"/>
        <v>8068</v>
      </c>
      <c r="W86" s="49">
        <f t="shared" si="9"/>
        <v>12418</v>
      </c>
    </row>
    <row r="87" spans="1:23" ht="29.25">
      <c r="A87" s="243" t="s">
        <v>7</v>
      </c>
      <c r="B87" s="124" t="s">
        <v>8</v>
      </c>
      <c r="C87" s="56" t="s">
        <v>363</v>
      </c>
      <c r="D87" s="56" t="s">
        <v>367</v>
      </c>
      <c r="E87" s="51"/>
      <c r="F87" s="51" t="s">
        <v>362</v>
      </c>
      <c r="G87" s="51" t="s">
        <v>363</v>
      </c>
      <c r="H87" s="42">
        <v>90102360</v>
      </c>
      <c r="I87" s="313" t="s">
        <v>1557</v>
      </c>
      <c r="J87" s="4" t="s">
        <v>364</v>
      </c>
      <c r="K87" s="58">
        <v>11.5</v>
      </c>
      <c r="L87" s="41"/>
      <c r="M87" s="12">
        <f>72029-56411</f>
        <v>15618</v>
      </c>
      <c r="N87" s="12">
        <f>130157-102638</f>
        <v>27519</v>
      </c>
      <c r="O87" s="49">
        <f t="shared" si="5"/>
        <v>43137</v>
      </c>
      <c r="P87" s="41"/>
      <c r="Q87" s="12">
        <f>72029-56411</f>
        <v>15618</v>
      </c>
      <c r="R87" s="12">
        <f>130157-102638</f>
        <v>27519</v>
      </c>
      <c r="S87" s="49">
        <f t="shared" si="6"/>
        <v>43137</v>
      </c>
      <c r="T87" s="41"/>
      <c r="U87" s="49">
        <f t="shared" si="7"/>
        <v>31236</v>
      </c>
      <c r="V87" s="49">
        <f t="shared" si="8"/>
        <v>55038</v>
      </c>
      <c r="W87" s="49">
        <f t="shared" si="9"/>
        <v>86274</v>
      </c>
    </row>
    <row r="88" spans="1:23" ht="29.25">
      <c r="A88" s="243" t="s">
        <v>7</v>
      </c>
      <c r="B88" s="124" t="s">
        <v>8</v>
      </c>
      <c r="C88" s="56" t="s">
        <v>397</v>
      </c>
      <c r="D88" s="56"/>
      <c r="E88" s="51"/>
      <c r="F88" s="51" t="s">
        <v>362</v>
      </c>
      <c r="G88" s="51" t="s">
        <v>363</v>
      </c>
      <c r="H88" s="42">
        <v>83294621</v>
      </c>
      <c r="I88" s="302" t="s">
        <v>1607</v>
      </c>
      <c r="J88" s="4" t="s">
        <v>364</v>
      </c>
      <c r="K88" s="58">
        <v>3</v>
      </c>
      <c r="L88" s="41"/>
      <c r="M88" s="12">
        <f>18936-15011</f>
        <v>3925</v>
      </c>
      <c r="N88" s="12">
        <f>32047-25527</f>
        <v>6520</v>
      </c>
      <c r="O88" s="49">
        <f t="shared" si="5"/>
        <v>10445</v>
      </c>
      <c r="P88" s="41"/>
      <c r="Q88" s="12">
        <f>18936-15011</f>
        <v>3925</v>
      </c>
      <c r="R88" s="12">
        <f>32047-25527</f>
        <v>6520</v>
      </c>
      <c r="S88" s="49">
        <f t="shared" si="6"/>
        <v>10445</v>
      </c>
      <c r="T88" s="41"/>
      <c r="U88" s="49">
        <f t="shared" si="7"/>
        <v>7850</v>
      </c>
      <c r="V88" s="49">
        <f t="shared" si="8"/>
        <v>13040</v>
      </c>
      <c r="W88" s="49">
        <f t="shared" si="9"/>
        <v>20890</v>
      </c>
    </row>
    <row r="89" spans="1:23" ht="29.25">
      <c r="A89" s="243" t="s">
        <v>7</v>
      </c>
      <c r="B89" s="124" t="s">
        <v>8</v>
      </c>
      <c r="C89" s="56" t="s">
        <v>385</v>
      </c>
      <c r="D89" s="56"/>
      <c r="E89" s="51"/>
      <c r="F89" s="51" t="s">
        <v>362</v>
      </c>
      <c r="G89" s="51" t="s">
        <v>363</v>
      </c>
      <c r="H89" s="42">
        <v>122194</v>
      </c>
      <c r="I89" s="302" t="s">
        <v>1632</v>
      </c>
      <c r="J89" s="4" t="s">
        <v>364</v>
      </c>
      <c r="K89" s="58">
        <v>3</v>
      </c>
      <c r="L89" s="41"/>
      <c r="M89" s="12">
        <f>14577-12934</f>
        <v>1643</v>
      </c>
      <c r="N89" s="12">
        <f>29894-26275</f>
        <v>3619</v>
      </c>
      <c r="O89" s="49">
        <f t="shared" si="5"/>
        <v>5262</v>
      </c>
      <c r="P89" s="41"/>
      <c r="Q89" s="12">
        <f>14577-12934</f>
        <v>1643</v>
      </c>
      <c r="R89" s="12">
        <f>29894-26275</f>
        <v>3619</v>
      </c>
      <c r="S89" s="49">
        <f t="shared" si="6"/>
        <v>5262</v>
      </c>
      <c r="T89" s="41"/>
      <c r="U89" s="49">
        <f t="shared" si="7"/>
        <v>3286</v>
      </c>
      <c r="V89" s="49">
        <f t="shared" si="8"/>
        <v>7238</v>
      </c>
      <c r="W89" s="49">
        <f t="shared" si="9"/>
        <v>10524</v>
      </c>
    </row>
    <row r="90" spans="1:23" ht="29.25">
      <c r="A90" s="243" t="s">
        <v>7</v>
      </c>
      <c r="B90" s="124" t="s">
        <v>8</v>
      </c>
      <c r="C90" s="56" t="s">
        <v>383</v>
      </c>
      <c r="D90" s="56" t="s">
        <v>1631</v>
      </c>
      <c r="E90" s="51"/>
      <c r="F90" s="51" t="s">
        <v>362</v>
      </c>
      <c r="G90" s="51" t="s">
        <v>363</v>
      </c>
      <c r="H90" s="42">
        <v>122190</v>
      </c>
      <c r="I90" s="313" t="s">
        <v>1633</v>
      </c>
      <c r="J90" s="4" t="s">
        <v>364</v>
      </c>
      <c r="K90" s="58">
        <v>3</v>
      </c>
      <c r="L90" s="41"/>
      <c r="M90" s="12">
        <f>13288-10859</f>
        <v>2429</v>
      </c>
      <c r="N90" s="12">
        <f>26910-22022</f>
        <v>4888</v>
      </c>
      <c r="O90" s="49">
        <f t="shared" si="5"/>
        <v>7317</v>
      </c>
      <c r="P90" s="41"/>
      <c r="Q90" s="12">
        <f>13288-10859</f>
        <v>2429</v>
      </c>
      <c r="R90" s="12">
        <f>26910-22022</f>
        <v>4888</v>
      </c>
      <c r="S90" s="49">
        <f t="shared" si="6"/>
        <v>7317</v>
      </c>
      <c r="T90" s="41"/>
      <c r="U90" s="49">
        <f t="shared" si="7"/>
        <v>4858</v>
      </c>
      <c r="V90" s="49">
        <f t="shared" si="8"/>
        <v>9776</v>
      </c>
      <c r="W90" s="49">
        <f t="shared" si="9"/>
        <v>14634</v>
      </c>
    </row>
    <row r="91" spans="1:23" ht="29.25">
      <c r="A91" s="243" t="s">
        <v>7</v>
      </c>
      <c r="B91" s="124" t="s">
        <v>8</v>
      </c>
      <c r="C91" s="56" t="s">
        <v>363</v>
      </c>
      <c r="D91" s="56" t="s">
        <v>89</v>
      </c>
      <c r="E91" s="51"/>
      <c r="F91" s="51" t="s">
        <v>362</v>
      </c>
      <c r="G91" s="51" t="s">
        <v>363</v>
      </c>
      <c r="H91" s="42">
        <v>90100755</v>
      </c>
      <c r="I91" s="302" t="s">
        <v>1561</v>
      </c>
      <c r="J91" s="4" t="s">
        <v>364</v>
      </c>
      <c r="K91" s="58">
        <v>11.7</v>
      </c>
      <c r="L91" s="41"/>
      <c r="M91" s="12">
        <f>65667-46480</f>
        <v>19187</v>
      </c>
      <c r="N91" s="12">
        <f>97953-82961</f>
        <v>14992</v>
      </c>
      <c r="O91" s="49">
        <f t="shared" si="5"/>
        <v>34179</v>
      </c>
      <c r="P91" s="41"/>
      <c r="Q91" s="12">
        <f>65667-46480</f>
        <v>19187</v>
      </c>
      <c r="R91" s="12">
        <f>97953-82961</f>
        <v>14992</v>
      </c>
      <c r="S91" s="49">
        <f t="shared" si="6"/>
        <v>34179</v>
      </c>
      <c r="T91" s="41"/>
      <c r="U91" s="49">
        <f t="shared" si="7"/>
        <v>38374</v>
      </c>
      <c r="V91" s="49">
        <f t="shared" si="8"/>
        <v>29984</v>
      </c>
      <c r="W91" s="49">
        <f t="shared" si="9"/>
        <v>68358</v>
      </c>
    </row>
    <row r="92" spans="1:23" ht="29.25">
      <c r="A92" s="243" t="s">
        <v>7</v>
      </c>
      <c r="B92" s="124" t="s">
        <v>8</v>
      </c>
      <c r="C92" s="56" t="s">
        <v>363</v>
      </c>
      <c r="D92" s="56" t="s">
        <v>204</v>
      </c>
      <c r="E92" s="51"/>
      <c r="F92" s="51" t="s">
        <v>362</v>
      </c>
      <c r="G92" s="51" t="s">
        <v>363</v>
      </c>
      <c r="H92" s="42">
        <v>94963177</v>
      </c>
      <c r="I92" s="302" t="s">
        <v>1599</v>
      </c>
      <c r="J92" s="4" t="s">
        <v>364</v>
      </c>
      <c r="K92" s="58">
        <v>4.5</v>
      </c>
      <c r="L92" s="41"/>
      <c r="M92" s="12">
        <f>59523-55481</f>
        <v>4042</v>
      </c>
      <c r="N92" s="12">
        <f>119799-109695</f>
        <v>10104</v>
      </c>
      <c r="O92" s="49">
        <f t="shared" si="5"/>
        <v>14146</v>
      </c>
      <c r="P92" s="41"/>
      <c r="Q92" s="12">
        <f>59523-55481</f>
        <v>4042</v>
      </c>
      <c r="R92" s="12">
        <f>119799-109695</f>
        <v>10104</v>
      </c>
      <c r="S92" s="49">
        <f t="shared" si="6"/>
        <v>14146</v>
      </c>
      <c r="T92" s="41"/>
      <c r="U92" s="49">
        <f t="shared" si="7"/>
        <v>8084</v>
      </c>
      <c r="V92" s="49">
        <f t="shared" si="8"/>
        <v>20208</v>
      </c>
      <c r="W92" s="49">
        <f t="shared" si="9"/>
        <v>28292</v>
      </c>
    </row>
    <row r="93" spans="1:23" ht="29.25">
      <c r="A93" s="243" t="s">
        <v>7</v>
      </c>
      <c r="B93" s="124" t="s">
        <v>8</v>
      </c>
      <c r="C93" s="56" t="s">
        <v>363</v>
      </c>
      <c r="D93" s="56" t="s">
        <v>395</v>
      </c>
      <c r="E93" s="51"/>
      <c r="F93" s="51" t="s">
        <v>362</v>
      </c>
      <c r="G93" s="51" t="s">
        <v>363</v>
      </c>
      <c r="H93" s="42">
        <v>83294577</v>
      </c>
      <c r="I93" s="313" t="s">
        <v>1603</v>
      </c>
      <c r="J93" s="4" t="s">
        <v>364</v>
      </c>
      <c r="K93" s="58">
        <v>3</v>
      </c>
      <c r="L93" s="41"/>
      <c r="M93" s="12">
        <f>4303-3259</f>
        <v>1044</v>
      </c>
      <c r="N93" s="12">
        <f>7522-6066</f>
        <v>1456</v>
      </c>
      <c r="O93" s="49">
        <f t="shared" si="5"/>
        <v>2500</v>
      </c>
      <c r="P93" s="41"/>
      <c r="Q93" s="12">
        <f>4303-3259</f>
        <v>1044</v>
      </c>
      <c r="R93" s="12">
        <f>7522-6066</f>
        <v>1456</v>
      </c>
      <c r="S93" s="49">
        <f t="shared" si="6"/>
        <v>2500</v>
      </c>
      <c r="T93" s="41"/>
      <c r="U93" s="49">
        <f t="shared" si="7"/>
        <v>2088</v>
      </c>
      <c r="V93" s="49">
        <f t="shared" si="8"/>
        <v>2912</v>
      </c>
      <c r="W93" s="49">
        <f t="shared" si="9"/>
        <v>5000</v>
      </c>
    </row>
    <row r="94" spans="1:23" ht="29.25">
      <c r="A94" s="243" t="s">
        <v>7</v>
      </c>
      <c r="B94" s="124" t="s">
        <v>8</v>
      </c>
      <c r="C94" s="56" t="s">
        <v>363</v>
      </c>
      <c r="D94" s="56" t="s">
        <v>394</v>
      </c>
      <c r="E94" s="51"/>
      <c r="F94" s="51" t="s">
        <v>362</v>
      </c>
      <c r="G94" s="51" t="s">
        <v>363</v>
      </c>
      <c r="H94" s="42">
        <v>90102882</v>
      </c>
      <c r="I94" s="302" t="s">
        <v>1602</v>
      </c>
      <c r="J94" s="4" t="s">
        <v>364</v>
      </c>
      <c r="K94" s="58">
        <v>6</v>
      </c>
      <c r="L94" s="41"/>
      <c r="M94" s="12">
        <f>17826-14046</f>
        <v>3780</v>
      </c>
      <c r="N94" s="12">
        <f>30599-24679</f>
        <v>5920</v>
      </c>
      <c r="O94" s="49">
        <f t="shared" si="5"/>
        <v>9700</v>
      </c>
      <c r="P94" s="41"/>
      <c r="Q94" s="12">
        <f>17826-14046</f>
        <v>3780</v>
      </c>
      <c r="R94" s="12">
        <f>30599-24679</f>
        <v>5920</v>
      </c>
      <c r="S94" s="49">
        <f t="shared" si="6"/>
        <v>9700</v>
      </c>
      <c r="T94" s="41"/>
      <c r="U94" s="49">
        <f t="shared" si="7"/>
        <v>7560</v>
      </c>
      <c r="V94" s="49">
        <f t="shared" si="8"/>
        <v>11840</v>
      </c>
      <c r="W94" s="49">
        <f t="shared" si="9"/>
        <v>19400</v>
      </c>
    </row>
    <row r="95" spans="1:23" ht="29.25">
      <c r="A95" s="239" t="s">
        <v>7</v>
      </c>
      <c r="B95" s="124" t="s">
        <v>8</v>
      </c>
      <c r="C95" s="56" t="s">
        <v>396</v>
      </c>
      <c r="D95" s="56"/>
      <c r="E95" s="51"/>
      <c r="F95" s="51" t="s">
        <v>362</v>
      </c>
      <c r="G95" s="51" t="s">
        <v>363</v>
      </c>
      <c r="H95" s="42">
        <v>83954163</v>
      </c>
      <c r="I95" s="302" t="s">
        <v>1626</v>
      </c>
      <c r="J95" s="4" t="s">
        <v>364</v>
      </c>
      <c r="K95" s="58">
        <v>3</v>
      </c>
      <c r="L95" s="41"/>
      <c r="M95" s="12">
        <f>5356-3174</f>
        <v>2182</v>
      </c>
      <c r="N95" s="12">
        <f>10253-5823</f>
        <v>4430</v>
      </c>
      <c r="O95" s="49">
        <f t="shared" si="5"/>
        <v>6612</v>
      </c>
      <c r="P95" s="41"/>
      <c r="Q95" s="12">
        <f>5356-3174</f>
        <v>2182</v>
      </c>
      <c r="R95" s="12">
        <f>10253-5823</f>
        <v>4430</v>
      </c>
      <c r="S95" s="49">
        <f t="shared" si="6"/>
        <v>6612</v>
      </c>
      <c r="T95" s="41"/>
      <c r="U95" s="49">
        <f t="shared" si="7"/>
        <v>4364</v>
      </c>
      <c r="V95" s="49">
        <f t="shared" si="8"/>
        <v>8860</v>
      </c>
      <c r="W95" s="49">
        <f t="shared" si="9"/>
        <v>13224</v>
      </c>
    </row>
    <row r="96" spans="1:23" ht="29.25">
      <c r="A96" s="250" t="s">
        <v>7</v>
      </c>
      <c r="B96" s="125" t="s">
        <v>8</v>
      </c>
      <c r="C96" s="299" t="s">
        <v>403</v>
      </c>
      <c r="D96" s="299"/>
      <c r="E96" s="300"/>
      <c r="F96" s="300" t="s">
        <v>400</v>
      </c>
      <c r="G96" s="300" t="s">
        <v>401</v>
      </c>
      <c r="H96" s="318">
        <v>83953197</v>
      </c>
      <c r="I96" s="347" t="s">
        <v>1665</v>
      </c>
      <c r="J96" s="229" t="s">
        <v>364</v>
      </c>
      <c r="K96" s="646">
        <v>2</v>
      </c>
      <c r="L96" s="165"/>
      <c r="M96" s="166">
        <f>13432-10917</f>
        <v>2515</v>
      </c>
      <c r="N96" s="166">
        <f>21290-16661</f>
        <v>4629</v>
      </c>
      <c r="O96" s="49">
        <f t="shared" si="5"/>
        <v>7144</v>
      </c>
      <c r="P96" s="165"/>
      <c r="Q96" s="166">
        <f>13432-10917</f>
        <v>2515</v>
      </c>
      <c r="R96" s="166">
        <f>21290-16661</f>
        <v>4629</v>
      </c>
      <c r="S96" s="49">
        <f t="shared" si="6"/>
        <v>7144</v>
      </c>
      <c r="T96" s="165"/>
      <c r="U96" s="49">
        <f t="shared" si="7"/>
        <v>5030</v>
      </c>
      <c r="V96" s="49">
        <f t="shared" si="8"/>
        <v>9258</v>
      </c>
      <c r="W96" s="49">
        <f t="shared" si="9"/>
        <v>14288</v>
      </c>
    </row>
    <row r="97" spans="1:23" ht="29.25">
      <c r="A97" s="255" t="s">
        <v>7</v>
      </c>
      <c r="B97" s="125" t="s">
        <v>8</v>
      </c>
      <c r="C97" s="683" t="s">
        <v>398</v>
      </c>
      <c r="D97" s="683"/>
      <c r="E97" s="684"/>
      <c r="F97" s="300" t="s">
        <v>362</v>
      </c>
      <c r="G97" s="300" t="s">
        <v>363</v>
      </c>
      <c r="H97" s="685">
        <v>92434481</v>
      </c>
      <c r="I97" s="347" t="s">
        <v>1666</v>
      </c>
      <c r="J97" s="686" t="s">
        <v>364</v>
      </c>
      <c r="K97" s="687">
        <v>1</v>
      </c>
      <c r="L97" s="688"/>
      <c r="M97" s="166">
        <f>4083-2380</f>
        <v>1703</v>
      </c>
      <c r="N97" s="166">
        <f>5211-3014</f>
        <v>2197</v>
      </c>
      <c r="O97" s="49">
        <f t="shared" si="5"/>
        <v>3900</v>
      </c>
      <c r="P97" s="688"/>
      <c r="Q97" s="166">
        <f>4083-2380</f>
        <v>1703</v>
      </c>
      <c r="R97" s="166">
        <f>5211-3014</f>
        <v>2197</v>
      </c>
      <c r="S97" s="49">
        <f t="shared" si="6"/>
        <v>3900</v>
      </c>
      <c r="T97" s="688"/>
      <c r="U97" s="49">
        <f t="shared" si="7"/>
        <v>3406</v>
      </c>
      <c r="V97" s="49">
        <f t="shared" si="8"/>
        <v>4394</v>
      </c>
      <c r="W97" s="49">
        <f t="shared" si="9"/>
        <v>7800</v>
      </c>
    </row>
    <row r="98" spans="1:23" ht="29.25">
      <c r="A98" s="250" t="s">
        <v>7</v>
      </c>
      <c r="B98" s="125" t="s">
        <v>1282</v>
      </c>
      <c r="C98" s="56" t="s">
        <v>381</v>
      </c>
      <c r="D98" s="57" t="s">
        <v>1671</v>
      </c>
      <c r="E98" s="42"/>
      <c r="F98" s="51" t="s">
        <v>362</v>
      </c>
      <c r="G98" s="42" t="s">
        <v>363</v>
      </c>
      <c r="H98" s="42">
        <v>1488941</v>
      </c>
      <c r="I98" s="302" t="s">
        <v>1736</v>
      </c>
      <c r="J98" s="4" t="s">
        <v>364</v>
      </c>
      <c r="K98" s="58">
        <v>1</v>
      </c>
      <c r="L98" s="156"/>
      <c r="M98" s="253">
        <f>8374-6983</f>
        <v>1391</v>
      </c>
      <c r="N98" s="253">
        <f>13744-11587</f>
        <v>2157</v>
      </c>
      <c r="O98" s="49">
        <f t="shared" si="5"/>
        <v>3548</v>
      </c>
      <c r="P98" s="156"/>
      <c r="Q98" s="253">
        <f>8374-6983</f>
        <v>1391</v>
      </c>
      <c r="R98" s="253">
        <f>13744-11587</f>
        <v>2157</v>
      </c>
      <c r="S98" s="49">
        <f t="shared" si="6"/>
        <v>3548</v>
      </c>
      <c r="T98" s="156"/>
      <c r="U98" s="49">
        <f t="shared" si="7"/>
        <v>2782</v>
      </c>
      <c r="V98" s="49">
        <f t="shared" si="8"/>
        <v>4314</v>
      </c>
      <c r="W98" s="49">
        <f t="shared" si="9"/>
        <v>7096</v>
      </c>
    </row>
    <row r="99" spans="1:23" ht="29.25">
      <c r="A99" s="250" t="s">
        <v>7</v>
      </c>
      <c r="B99" s="123" t="s">
        <v>1282</v>
      </c>
      <c r="C99" s="51" t="s">
        <v>390</v>
      </c>
      <c r="D99" s="51" t="s">
        <v>1669</v>
      </c>
      <c r="E99" s="51"/>
      <c r="F99" s="51" t="s">
        <v>362</v>
      </c>
      <c r="G99" s="42" t="s">
        <v>363</v>
      </c>
      <c r="H99" s="51">
        <v>1488939</v>
      </c>
      <c r="I99" s="302" t="s">
        <v>1734</v>
      </c>
      <c r="J99" s="4" t="s">
        <v>364</v>
      </c>
      <c r="K99" s="58">
        <v>2</v>
      </c>
      <c r="L99" s="252"/>
      <c r="M99" s="12">
        <f>9335-7910</f>
        <v>1425</v>
      </c>
      <c r="N99" s="12">
        <f>18634-15841</f>
        <v>2793</v>
      </c>
      <c r="O99" s="49">
        <f t="shared" si="5"/>
        <v>4218</v>
      </c>
      <c r="P99" s="252"/>
      <c r="Q99" s="12">
        <f>9335-7910</f>
        <v>1425</v>
      </c>
      <c r="R99" s="12">
        <f>18634-15841</f>
        <v>2793</v>
      </c>
      <c r="S99" s="49">
        <f t="shared" si="6"/>
        <v>4218</v>
      </c>
      <c r="T99" s="252"/>
      <c r="U99" s="49">
        <f t="shared" si="7"/>
        <v>2850</v>
      </c>
      <c r="V99" s="49">
        <f t="shared" si="8"/>
        <v>5586</v>
      </c>
      <c r="W99" s="49">
        <f t="shared" si="9"/>
        <v>8436</v>
      </c>
    </row>
    <row r="100" spans="1:23" ht="29.25">
      <c r="A100" s="250" t="s">
        <v>7</v>
      </c>
      <c r="B100" s="123" t="s">
        <v>1282</v>
      </c>
      <c r="C100" s="51" t="s">
        <v>392</v>
      </c>
      <c r="D100" s="51" t="s">
        <v>1670</v>
      </c>
      <c r="E100" s="51"/>
      <c r="F100" s="51" t="s">
        <v>362</v>
      </c>
      <c r="G100" s="42" t="s">
        <v>363</v>
      </c>
      <c r="H100" s="51">
        <v>1488942</v>
      </c>
      <c r="I100" s="302" t="s">
        <v>1733</v>
      </c>
      <c r="J100" s="4" t="s">
        <v>364</v>
      </c>
      <c r="K100" s="58">
        <v>1</v>
      </c>
      <c r="L100" s="252"/>
      <c r="M100" s="12">
        <f>2607-2173</f>
        <v>434</v>
      </c>
      <c r="N100" s="12">
        <f>4925-4129</f>
        <v>796</v>
      </c>
      <c r="O100" s="49">
        <f t="shared" si="5"/>
        <v>1230</v>
      </c>
      <c r="P100" s="252"/>
      <c r="Q100" s="12">
        <f>2607-2173</f>
        <v>434</v>
      </c>
      <c r="R100" s="12">
        <f>4925-4129</f>
        <v>796</v>
      </c>
      <c r="S100" s="49">
        <f t="shared" si="6"/>
        <v>1230</v>
      </c>
      <c r="T100" s="252"/>
      <c r="U100" s="49">
        <f t="shared" si="7"/>
        <v>868</v>
      </c>
      <c r="V100" s="49">
        <f t="shared" si="8"/>
        <v>1592</v>
      </c>
      <c r="W100" s="49">
        <f t="shared" si="9"/>
        <v>2460</v>
      </c>
    </row>
    <row r="101" spans="1:23" ht="29.25">
      <c r="A101" s="250" t="s">
        <v>7</v>
      </c>
      <c r="B101" s="123" t="s">
        <v>1282</v>
      </c>
      <c r="C101" s="56" t="s">
        <v>396</v>
      </c>
      <c r="D101" s="51"/>
      <c r="E101" s="51"/>
      <c r="F101" s="51" t="s">
        <v>362</v>
      </c>
      <c r="G101" s="42" t="s">
        <v>363</v>
      </c>
      <c r="H101" s="51">
        <v>259355</v>
      </c>
      <c r="I101" s="302" t="s">
        <v>1737</v>
      </c>
      <c r="J101" s="4" t="s">
        <v>364</v>
      </c>
      <c r="K101" s="58">
        <v>5</v>
      </c>
      <c r="L101" s="252"/>
      <c r="M101" s="12">
        <f>32923-30970</f>
        <v>1953</v>
      </c>
      <c r="N101" s="12">
        <f>27939-24441</f>
        <v>3498</v>
      </c>
      <c r="O101" s="49">
        <f t="shared" si="5"/>
        <v>5451</v>
      </c>
      <c r="P101" s="252"/>
      <c r="Q101" s="12">
        <f>32923-30970</f>
        <v>1953</v>
      </c>
      <c r="R101" s="12">
        <f>27939-24441</f>
        <v>3498</v>
      </c>
      <c r="S101" s="49">
        <f t="shared" si="6"/>
        <v>5451</v>
      </c>
      <c r="T101" s="252"/>
      <c r="U101" s="49">
        <f t="shared" si="7"/>
        <v>3906</v>
      </c>
      <c r="V101" s="49">
        <f t="shared" si="8"/>
        <v>6996</v>
      </c>
      <c r="W101" s="49">
        <f t="shared" si="9"/>
        <v>10902</v>
      </c>
    </row>
    <row r="102" spans="1:23" ht="29.25">
      <c r="A102" s="250" t="s">
        <v>7</v>
      </c>
      <c r="B102" s="123" t="s">
        <v>1282</v>
      </c>
      <c r="C102" s="172" t="s">
        <v>396</v>
      </c>
      <c r="D102" s="57" t="s">
        <v>1672</v>
      </c>
      <c r="E102" s="42"/>
      <c r="F102" s="51" t="s">
        <v>362</v>
      </c>
      <c r="G102" s="42" t="s">
        <v>363</v>
      </c>
      <c r="H102" s="42">
        <v>334157</v>
      </c>
      <c r="I102" s="302" t="s">
        <v>1738</v>
      </c>
      <c r="J102" s="4" t="s">
        <v>364</v>
      </c>
      <c r="K102" s="44">
        <v>3</v>
      </c>
      <c r="L102" s="156"/>
      <c r="M102" s="253">
        <f>14333-11220</f>
        <v>3113</v>
      </c>
      <c r="N102" s="253">
        <f>24587-19079</f>
        <v>5508</v>
      </c>
      <c r="O102" s="49">
        <f t="shared" si="5"/>
        <v>8621</v>
      </c>
      <c r="P102" s="156"/>
      <c r="Q102" s="253">
        <f>14333-11220</f>
        <v>3113</v>
      </c>
      <c r="R102" s="253">
        <f>24587-19079</f>
        <v>5508</v>
      </c>
      <c r="S102" s="49">
        <f t="shared" si="6"/>
        <v>8621</v>
      </c>
      <c r="T102" s="156"/>
      <c r="U102" s="49">
        <f t="shared" si="7"/>
        <v>6226</v>
      </c>
      <c r="V102" s="49">
        <f t="shared" si="8"/>
        <v>11016</v>
      </c>
      <c r="W102" s="49">
        <f t="shared" si="9"/>
        <v>17242</v>
      </c>
    </row>
    <row r="103" spans="1:23" ht="29.25">
      <c r="A103" s="250" t="s">
        <v>7</v>
      </c>
      <c r="B103" s="123" t="s">
        <v>1282</v>
      </c>
      <c r="C103" s="51" t="s">
        <v>392</v>
      </c>
      <c r="D103" s="51" t="s">
        <v>985</v>
      </c>
      <c r="E103" s="51"/>
      <c r="F103" s="51" t="s">
        <v>362</v>
      </c>
      <c r="G103" s="42" t="s">
        <v>363</v>
      </c>
      <c r="H103" s="51">
        <v>1488940</v>
      </c>
      <c r="I103" s="302" t="s">
        <v>1735</v>
      </c>
      <c r="J103" s="4" t="s">
        <v>364</v>
      </c>
      <c r="K103" s="58">
        <v>1</v>
      </c>
      <c r="L103" s="252"/>
      <c r="M103" s="12">
        <f>3044-2572</f>
        <v>472</v>
      </c>
      <c r="N103" s="12">
        <f>5688-4869</f>
        <v>819</v>
      </c>
      <c r="O103" s="49">
        <f t="shared" si="5"/>
        <v>1291</v>
      </c>
      <c r="P103" s="252"/>
      <c r="Q103" s="12">
        <f>3044-2572</f>
        <v>472</v>
      </c>
      <c r="R103" s="12">
        <f>5688-4869</f>
        <v>819</v>
      </c>
      <c r="S103" s="49">
        <f t="shared" si="6"/>
        <v>1291</v>
      </c>
      <c r="T103" s="252"/>
      <c r="U103" s="49">
        <f t="shared" si="7"/>
        <v>944</v>
      </c>
      <c r="V103" s="49">
        <f t="shared" si="8"/>
        <v>1638</v>
      </c>
      <c r="W103" s="49">
        <f t="shared" si="9"/>
        <v>2582</v>
      </c>
    </row>
    <row r="104" spans="1:23" ht="29.25">
      <c r="A104" s="251" t="s">
        <v>7</v>
      </c>
      <c r="B104" s="123" t="s">
        <v>1282</v>
      </c>
      <c r="C104" s="56" t="s">
        <v>1739</v>
      </c>
      <c r="D104" s="51" t="s">
        <v>1740</v>
      </c>
      <c r="E104" s="51"/>
      <c r="F104" s="42" t="s">
        <v>362</v>
      </c>
      <c r="G104" s="42" t="s">
        <v>363</v>
      </c>
      <c r="H104" s="51">
        <v>83294178</v>
      </c>
      <c r="I104" s="302" t="s">
        <v>1776</v>
      </c>
      <c r="J104" s="69" t="s">
        <v>364</v>
      </c>
      <c r="K104" s="58">
        <v>3</v>
      </c>
      <c r="L104" s="252"/>
      <c r="M104" s="12">
        <f>7450-5635</f>
        <v>1815</v>
      </c>
      <c r="N104" s="12">
        <f>13826-10582</f>
        <v>3244</v>
      </c>
      <c r="O104" s="49">
        <f t="shared" si="5"/>
        <v>5059</v>
      </c>
      <c r="P104" s="252"/>
      <c r="Q104" s="12">
        <f>7450-5635</f>
        <v>1815</v>
      </c>
      <c r="R104" s="12">
        <f>13826-10582</f>
        <v>3244</v>
      </c>
      <c r="S104" s="49">
        <f t="shared" si="6"/>
        <v>5059</v>
      </c>
      <c r="T104" s="252"/>
      <c r="U104" s="49">
        <f t="shared" si="7"/>
        <v>3630</v>
      </c>
      <c r="V104" s="49">
        <f t="shared" si="8"/>
        <v>6488</v>
      </c>
      <c r="W104" s="49">
        <f t="shared" si="9"/>
        <v>10118</v>
      </c>
    </row>
    <row r="105" spans="1:23" ht="29.25">
      <c r="A105" s="251" t="s">
        <v>7</v>
      </c>
      <c r="B105" s="123" t="s">
        <v>1282</v>
      </c>
      <c r="C105" s="56" t="s">
        <v>299</v>
      </c>
      <c r="D105" s="51" t="s">
        <v>1431</v>
      </c>
      <c r="E105" s="51" t="s">
        <v>1741</v>
      </c>
      <c r="F105" s="51" t="s">
        <v>362</v>
      </c>
      <c r="G105" s="42" t="s">
        <v>363</v>
      </c>
      <c r="H105" s="51">
        <v>83293825</v>
      </c>
      <c r="I105" s="302" t="s">
        <v>1775</v>
      </c>
      <c r="J105" s="69" t="s">
        <v>364</v>
      </c>
      <c r="K105" s="58">
        <v>2</v>
      </c>
      <c r="L105" s="252"/>
      <c r="M105" s="12">
        <f>6743-5450</f>
        <v>1293</v>
      </c>
      <c r="N105" s="12">
        <f>13617-10764</f>
        <v>2853</v>
      </c>
      <c r="O105" s="49">
        <f t="shared" si="5"/>
        <v>4146</v>
      </c>
      <c r="P105" s="252"/>
      <c r="Q105" s="12">
        <f>6743-5450</f>
        <v>1293</v>
      </c>
      <c r="R105" s="12">
        <f>13617-10764</f>
        <v>2853</v>
      </c>
      <c r="S105" s="49">
        <f t="shared" si="6"/>
        <v>4146</v>
      </c>
      <c r="T105" s="252"/>
      <c r="U105" s="49">
        <f t="shared" si="7"/>
        <v>2586</v>
      </c>
      <c r="V105" s="49">
        <f t="shared" si="8"/>
        <v>5706</v>
      </c>
      <c r="W105" s="49">
        <f t="shared" si="9"/>
        <v>8292</v>
      </c>
    </row>
    <row r="106" spans="1:23" ht="29.25">
      <c r="A106" s="251" t="s">
        <v>7</v>
      </c>
      <c r="B106" s="123" t="s">
        <v>1282</v>
      </c>
      <c r="C106" s="51" t="s">
        <v>360</v>
      </c>
      <c r="D106" s="51" t="s">
        <v>259</v>
      </c>
      <c r="E106" s="51"/>
      <c r="F106" s="51" t="s">
        <v>362</v>
      </c>
      <c r="G106" s="42" t="s">
        <v>363</v>
      </c>
      <c r="H106" s="51">
        <v>90071540</v>
      </c>
      <c r="I106" s="302" t="s">
        <v>1777</v>
      </c>
      <c r="J106" s="69" t="s">
        <v>364</v>
      </c>
      <c r="K106" s="58">
        <v>2</v>
      </c>
      <c r="L106" s="252"/>
      <c r="M106" s="12">
        <f>10240-8179</f>
        <v>2061</v>
      </c>
      <c r="N106" s="12">
        <f>19479-15468</f>
        <v>4011</v>
      </c>
      <c r="O106" s="49">
        <f t="shared" si="5"/>
        <v>6072</v>
      </c>
      <c r="P106" s="252"/>
      <c r="Q106" s="12">
        <f>10240-8179</f>
        <v>2061</v>
      </c>
      <c r="R106" s="12">
        <f>19479-15468</f>
        <v>4011</v>
      </c>
      <c r="S106" s="49">
        <f t="shared" si="6"/>
        <v>6072</v>
      </c>
      <c r="T106" s="252"/>
      <c r="U106" s="49">
        <f t="shared" si="7"/>
        <v>4122</v>
      </c>
      <c r="V106" s="49">
        <f t="shared" si="8"/>
        <v>8022</v>
      </c>
      <c r="W106" s="49">
        <f t="shared" si="9"/>
        <v>12144</v>
      </c>
    </row>
    <row r="107" spans="1:23" ht="29.25">
      <c r="A107" s="251" t="s">
        <v>7</v>
      </c>
      <c r="B107" s="123" t="s">
        <v>1282</v>
      </c>
      <c r="C107" s="51" t="s">
        <v>370</v>
      </c>
      <c r="D107" s="51" t="s">
        <v>1772</v>
      </c>
      <c r="E107" s="51"/>
      <c r="F107" s="51" t="s">
        <v>362</v>
      </c>
      <c r="G107" s="42" t="s">
        <v>363</v>
      </c>
      <c r="H107" s="51">
        <v>90300032</v>
      </c>
      <c r="I107" s="302" t="s">
        <v>1773</v>
      </c>
      <c r="J107" s="69" t="s">
        <v>364</v>
      </c>
      <c r="K107" s="58">
        <v>5</v>
      </c>
      <c r="L107" s="252"/>
      <c r="M107" s="12">
        <f>9391-6487</f>
        <v>2904</v>
      </c>
      <c r="N107" s="12">
        <f>18276-12488</f>
        <v>5788</v>
      </c>
      <c r="O107" s="49">
        <f t="shared" si="5"/>
        <v>8692</v>
      </c>
      <c r="P107" s="252"/>
      <c r="Q107" s="12">
        <f>9391-6487</f>
        <v>2904</v>
      </c>
      <c r="R107" s="12">
        <f>18276-12488</f>
        <v>5788</v>
      </c>
      <c r="S107" s="49">
        <f t="shared" si="6"/>
        <v>8692</v>
      </c>
      <c r="T107" s="252"/>
      <c r="U107" s="49">
        <f t="shared" si="7"/>
        <v>5808</v>
      </c>
      <c r="V107" s="49">
        <f t="shared" si="8"/>
        <v>11576</v>
      </c>
      <c r="W107" s="49">
        <f t="shared" si="9"/>
        <v>17384</v>
      </c>
    </row>
    <row r="108" spans="1:23" ht="29.25">
      <c r="A108" s="251" t="s">
        <v>7</v>
      </c>
      <c r="B108" s="123" t="s">
        <v>1282</v>
      </c>
      <c r="C108" s="56" t="s">
        <v>372</v>
      </c>
      <c r="D108" s="51" t="s">
        <v>1467</v>
      </c>
      <c r="E108" s="51" t="s">
        <v>1742</v>
      </c>
      <c r="F108" s="51" t="s">
        <v>362</v>
      </c>
      <c r="G108" s="42" t="s">
        <v>363</v>
      </c>
      <c r="H108" s="51">
        <v>90107487</v>
      </c>
      <c r="I108" s="302" t="s">
        <v>1774</v>
      </c>
      <c r="J108" s="69" t="s">
        <v>364</v>
      </c>
      <c r="K108" s="58">
        <v>5</v>
      </c>
      <c r="L108" s="252"/>
      <c r="M108" s="12">
        <f>14144-11531</f>
        <v>2613</v>
      </c>
      <c r="N108" s="12">
        <f>28466-23146</f>
        <v>5320</v>
      </c>
      <c r="O108" s="49">
        <f t="shared" si="5"/>
        <v>7933</v>
      </c>
      <c r="P108" s="252"/>
      <c r="Q108" s="12">
        <f>14144-11531</f>
        <v>2613</v>
      </c>
      <c r="R108" s="12">
        <f>28466-23146</f>
        <v>5320</v>
      </c>
      <c r="S108" s="49">
        <f t="shared" si="6"/>
        <v>7933</v>
      </c>
      <c r="T108" s="252"/>
      <c r="U108" s="49">
        <f t="shared" si="7"/>
        <v>5226</v>
      </c>
      <c r="V108" s="49">
        <f t="shared" si="8"/>
        <v>10640</v>
      </c>
      <c r="W108" s="49">
        <f t="shared" si="9"/>
        <v>15866</v>
      </c>
    </row>
    <row r="109" spans="1:23" ht="57.75">
      <c r="A109" s="251" t="s">
        <v>7</v>
      </c>
      <c r="B109" s="123" t="s">
        <v>1282</v>
      </c>
      <c r="C109" s="51" t="s">
        <v>2005</v>
      </c>
      <c r="D109" s="51"/>
      <c r="E109" s="56" t="s">
        <v>2032</v>
      </c>
      <c r="F109" s="51" t="s">
        <v>362</v>
      </c>
      <c r="G109" s="42" t="s">
        <v>363</v>
      </c>
      <c r="H109" s="51">
        <v>83564730</v>
      </c>
      <c r="I109" s="302" t="s">
        <v>2006</v>
      </c>
      <c r="J109" s="69" t="s">
        <v>364</v>
      </c>
      <c r="K109" s="58">
        <v>3</v>
      </c>
      <c r="L109" s="252"/>
      <c r="M109" s="12">
        <f>13574-7430</f>
        <v>6144</v>
      </c>
      <c r="N109" s="12">
        <f>11164-9148</f>
        <v>2016</v>
      </c>
      <c r="O109" s="49">
        <f t="shared" si="5"/>
        <v>8160</v>
      </c>
      <c r="P109" s="252"/>
      <c r="Q109" s="12">
        <f>13574-7430</f>
        <v>6144</v>
      </c>
      <c r="R109" s="12">
        <f>11164-9148</f>
        <v>2016</v>
      </c>
      <c r="S109" s="49">
        <f t="shared" si="6"/>
        <v>8160</v>
      </c>
      <c r="T109" s="252"/>
      <c r="U109" s="49">
        <f t="shared" si="7"/>
        <v>12288</v>
      </c>
      <c r="V109" s="49">
        <f t="shared" si="8"/>
        <v>4032</v>
      </c>
      <c r="W109" s="49">
        <f t="shared" si="9"/>
        <v>16320</v>
      </c>
    </row>
    <row r="110" spans="1:23" ht="29.25">
      <c r="A110" s="251" t="s">
        <v>7</v>
      </c>
      <c r="B110" s="123" t="s">
        <v>1282</v>
      </c>
      <c r="C110" s="51" t="s">
        <v>299</v>
      </c>
      <c r="D110" s="51" t="s">
        <v>2009</v>
      </c>
      <c r="E110" s="56" t="s">
        <v>2010</v>
      </c>
      <c r="F110" s="51" t="s">
        <v>2033</v>
      </c>
      <c r="G110" s="42" t="s">
        <v>299</v>
      </c>
      <c r="H110" s="42">
        <v>83293933</v>
      </c>
      <c r="I110" s="302" t="s">
        <v>2035</v>
      </c>
      <c r="J110" s="69" t="s">
        <v>364</v>
      </c>
      <c r="K110" s="58">
        <v>2</v>
      </c>
      <c r="L110" s="252"/>
      <c r="M110" s="12">
        <f>7555-5222</f>
        <v>2333</v>
      </c>
      <c r="N110" s="12">
        <f>9345-6714</f>
        <v>2631</v>
      </c>
      <c r="O110" s="49">
        <f t="shared" si="5"/>
        <v>4964</v>
      </c>
      <c r="P110" s="252"/>
      <c r="Q110" s="12">
        <f>7555-5222</f>
        <v>2333</v>
      </c>
      <c r="R110" s="12">
        <f>9345-6714</f>
        <v>2631</v>
      </c>
      <c r="S110" s="49">
        <f t="shared" si="6"/>
        <v>4964</v>
      </c>
      <c r="T110" s="252"/>
      <c r="U110" s="49">
        <f t="shared" si="7"/>
        <v>4666</v>
      </c>
      <c r="V110" s="49">
        <f t="shared" si="8"/>
        <v>5262</v>
      </c>
      <c r="W110" s="49">
        <f t="shared" si="9"/>
        <v>9928</v>
      </c>
    </row>
    <row r="111" spans="1:23" ht="29.25">
      <c r="A111" s="251" t="s">
        <v>7</v>
      </c>
      <c r="B111" s="123" t="s">
        <v>1282</v>
      </c>
      <c r="C111" s="51" t="s">
        <v>381</v>
      </c>
      <c r="D111" s="51" t="s">
        <v>2007</v>
      </c>
      <c r="E111" s="51" t="s">
        <v>2008</v>
      </c>
      <c r="F111" s="51" t="s">
        <v>362</v>
      </c>
      <c r="G111" s="42" t="s">
        <v>363</v>
      </c>
      <c r="H111" s="42">
        <v>83247123</v>
      </c>
      <c r="I111" s="302" t="s">
        <v>2037</v>
      </c>
      <c r="J111" s="69" t="s">
        <v>364</v>
      </c>
      <c r="K111" s="58">
        <v>3</v>
      </c>
      <c r="L111" s="252"/>
      <c r="M111" s="12">
        <f>12831-8899</f>
        <v>3932</v>
      </c>
      <c r="N111" s="12">
        <f>21198-14328</f>
        <v>6870</v>
      </c>
      <c r="O111" s="49">
        <f t="shared" si="5"/>
        <v>10802</v>
      </c>
      <c r="P111" s="252"/>
      <c r="Q111" s="12">
        <f>12831-8899</f>
        <v>3932</v>
      </c>
      <c r="R111" s="12">
        <f>21198-14328</f>
        <v>6870</v>
      </c>
      <c r="S111" s="49">
        <f t="shared" si="6"/>
        <v>10802</v>
      </c>
      <c r="T111" s="252"/>
      <c r="U111" s="49">
        <f t="shared" si="7"/>
        <v>7864</v>
      </c>
      <c r="V111" s="49">
        <f t="shared" si="8"/>
        <v>13740</v>
      </c>
      <c r="W111" s="49">
        <f t="shared" si="9"/>
        <v>21604</v>
      </c>
    </row>
    <row r="112" spans="1:23" ht="29.25">
      <c r="A112" s="251" t="s">
        <v>7</v>
      </c>
      <c r="B112" s="123" t="s">
        <v>1282</v>
      </c>
      <c r="C112" s="51" t="s">
        <v>299</v>
      </c>
      <c r="D112" s="51" t="s">
        <v>2009</v>
      </c>
      <c r="E112" s="56" t="s">
        <v>2121</v>
      </c>
      <c r="F112" s="51" t="s">
        <v>2033</v>
      </c>
      <c r="G112" s="42" t="s">
        <v>299</v>
      </c>
      <c r="H112" s="42">
        <v>83143339</v>
      </c>
      <c r="I112" s="302" t="s">
        <v>2034</v>
      </c>
      <c r="J112" s="69" t="s">
        <v>364</v>
      </c>
      <c r="K112" s="58">
        <v>3</v>
      </c>
      <c r="L112" s="252"/>
      <c r="M112" s="12">
        <f>9602-6447</f>
        <v>3155</v>
      </c>
      <c r="N112" s="12">
        <f>16584-11381</f>
        <v>5203</v>
      </c>
      <c r="O112" s="49">
        <f t="shared" si="5"/>
        <v>8358</v>
      </c>
      <c r="P112" s="252"/>
      <c r="Q112" s="12">
        <f>9602-6447</f>
        <v>3155</v>
      </c>
      <c r="R112" s="12">
        <f>16584-11381</f>
        <v>5203</v>
      </c>
      <c r="S112" s="49">
        <f t="shared" si="6"/>
        <v>8358</v>
      </c>
      <c r="T112" s="252"/>
      <c r="U112" s="49">
        <f t="shared" si="7"/>
        <v>6310</v>
      </c>
      <c r="V112" s="49">
        <f t="shared" si="8"/>
        <v>10406</v>
      </c>
      <c r="W112" s="49">
        <f t="shared" si="9"/>
        <v>16716</v>
      </c>
    </row>
    <row r="113" spans="1:23" ht="29.25">
      <c r="A113" s="251" t="s">
        <v>7</v>
      </c>
      <c r="B113" s="123" t="s">
        <v>8</v>
      </c>
      <c r="C113" s="51" t="s">
        <v>360</v>
      </c>
      <c r="D113" s="51" t="s">
        <v>1055</v>
      </c>
      <c r="E113" s="56" t="s">
        <v>2038</v>
      </c>
      <c r="F113" s="51" t="s">
        <v>362</v>
      </c>
      <c r="G113" s="42" t="s">
        <v>363</v>
      </c>
      <c r="H113" s="42">
        <v>90694330</v>
      </c>
      <c r="I113" s="302" t="s">
        <v>2122</v>
      </c>
      <c r="J113" s="69" t="s">
        <v>364</v>
      </c>
      <c r="K113" s="58">
        <v>1</v>
      </c>
      <c r="L113" s="252"/>
      <c r="M113" s="12">
        <f>5855-4492</f>
        <v>1363</v>
      </c>
      <c r="N113" s="12">
        <f>14922-12501</f>
        <v>2421</v>
      </c>
      <c r="O113" s="49">
        <f t="shared" si="5"/>
        <v>3784</v>
      </c>
      <c r="P113" s="252"/>
      <c r="Q113" s="12">
        <f>5855-4492</f>
        <v>1363</v>
      </c>
      <c r="R113" s="12">
        <f>14922-12501</f>
        <v>2421</v>
      </c>
      <c r="S113" s="49">
        <f t="shared" si="6"/>
        <v>3784</v>
      </c>
      <c r="T113" s="252"/>
      <c r="U113" s="49">
        <f t="shared" si="7"/>
        <v>2726</v>
      </c>
      <c r="V113" s="49">
        <f t="shared" si="8"/>
        <v>4842</v>
      </c>
      <c r="W113" s="49">
        <f t="shared" si="9"/>
        <v>7568</v>
      </c>
    </row>
    <row r="114" spans="1:23" ht="29.25">
      <c r="A114" s="251" t="s">
        <v>7</v>
      </c>
      <c r="B114" s="123" t="s">
        <v>8</v>
      </c>
      <c r="C114" s="56" t="s">
        <v>390</v>
      </c>
      <c r="D114" s="51" t="s">
        <v>2043</v>
      </c>
      <c r="E114" s="56"/>
      <c r="F114" s="51" t="s">
        <v>362</v>
      </c>
      <c r="G114" s="42" t="s">
        <v>363</v>
      </c>
      <c r="H114" s="42">
        <v>90695484</v>
      </c>
      <c r="I114" s="302" t="s">
        <v>2117</v>
      </c>
      <c r="J114" s="69" t="s">
        <v>364</v>
      </c>
      <c r="K114" s="58">
        <v>5</v>
      </c>
      <c r="L114" s="252"/>
      <c r="M114" s="12">
        <f>11030-8519</f>
        <v>2511</v>
      </c>
      <c r="N114" s="12">
        <f>16985-11722</f>
        <v>5263</v>
      </c>
      <c r="O114" s="49">
        <f t="shared" si="5"/>
        <v>7774</v>
      </c>
      <c r="P114" s="252"/>
      <c r="Q114" s="12">
        <f>11030-8519</f>
        <v>2511</v>
      </c>
      <c r="R114" s="12">
        <f>16985-11722</f>
        <v>5263</v>
      </c>
      <c r="S114" s="49">
        <f t="shared" si="6"/>
        <v>7774</v>
      </c>
      <c r="T114" s="252"/>
      <c r="U114" s="49">
        <f t="shared" si="7"/>
        <v>5022</v>
      </c>
      <c r="V114" s="49">
        <f t="shared" si="8"/>
        <v>10526</v>
      </c>
      <c r="W114" s="49">
        <f t="shared" si="9"/>
        <v>15548</v>
      </c>
    </row>
    <row r="115" spans="1:23" ht="29.25">
      <c r="A115" s="251" t="s">
        <v>7</v>
      </c>
      <c r="B115" s="123" t="s">
        <v>8</v>
      </c>
      <c r="C115" s="56" t="s">
        <v>390</v>
      </c>
      <c r="D115" s="51" t="s">
        <v>2042</v>
      </c>
      <c r="E115" s="56"/>
      <c r="F115" s="51" t="s">
        <v>362</v>
      </c>
      <c r="G115" s="42" t="s">
        <v>363</v>
      </c>
      <c r="H115" s="45">
        <v>71879283</v>
      </c>
      <c r="I115" s="302" t="s">
        <v>2116</v>
      </c>
      <c r="J115" s="69" t="s">
        <v>364</v>
      </c>
      <c r="K115" s="58">
        <v>5</v>
      </c>
      <c r="L115" s="252"/>
      <c r="M115" s="12">
        <f>15147-11266</f>
        <v>3881</v>
      </c>
      <c r="N115" s="12">
        <f>24237-16446</f>
        <v>7791</v>
      </c>
      <c r="O115" s="49">
        <f t="shared" si="5"/>
        <v>11672</v>
      </c>
      <c r="P115" s="252"/>
      <c r="Q115" s="12">
        <f>15147-11266</f>
        <v>3881</v>
      </c>
      <c r="R115" s="12">
        <f>24237-16446</f>
        <v>7791</v>
      </c>
      <c r="S115" s="49">
        <f t="shared" si="6"/>
        <v>11672</v>
      </c>
      <c r="T115" s="252"/>
      <c r="U115" s="49">
        <f t="shared" si="7"/>
        <v>7762</v>
      </c>
      <c r="V115" s="49">
        <f t="shared" si="8"/>
        <v>15582</v>
      </c>
      <c r="W115" s="49">
        <f t="shared" si="9"/>
        <v>23344</v>
      </c>
    </row>
    <row r="116" spans="1:23" ht="29.25">
      <c r="A116" s="251" t="s">
        <v>7</v>
      </c>
      <c r="B116" s="123" t="s">
        <v>8</v>
      </c>
      <c r="C116" s="56" t="s">
        <v>388</v>
      </c>
      <c r="D116" s="51" t="s">
        <v>2039</v>
      </c>
      <c r="E116" s="56"/>
      <c r="F116" s="51" t="s">
        <v>362</v>
      </c>
      <c r="G116" s="42" t="s">
        <v>363</v>
      </c>
      <c r="H116" s="42">
        <v>90553603</v>
      </c>
      <c r="I116" s="302" t="s">
        <v>2123</v>
      </c>
      <c r="J116" s="69" t="s">
        <v>364</v>
      </c>
      <c r="K116" s="58">
        <v>5</v>
      </c>
      <c r="L116" s="252"/>
      <c r="M116" s="12">
        <f>18254-12411</f>
        <v>5843</v>
      </c>
      <c r="N116" s="12">
        <f>28264-16320</f>
        <v>11944</v>
      </c>
      <c r="O116" s="49">
        <f t="shared" si="5"/>
        <v>17787</v>
      </c>
      <c r="P116" s="252"/>
      <c r="Q116" s="12">
        <f>18254-12411</f>
        <v>5843</v>
      </c>
      <c r="R116" s="12">
        <f>28264-16320</f>
        <v>11944</v>
      </c>
      <c r="S116" s="49">
        <f t="shared" si="6"/>
        <v>17787</v>
      </c>
      <c r="T116" s="252"/>
      <c r="U116" s="49">
        <f t="shared" si="7"/>
        <v>11686</v>
      </c>
      <c r="V116" s="49">
        <f t="shared" si="8"/>
        <v>23888</v>
      </c>
      <c r="W116" s="49">
        <f t="shared" si="9"/>
        <v>35574</v>
      </c>
    </row>
    <row r="117" spans="1:23" ht="29.25">
      <c r="A117" s="251" t="s">
        <v>7</v>
      </c>
      <c r="B117" s="123" t="s">
        <v>8</v>
      </c>
      <c r="C117" s="56" t="s">
        <v>363</v>
      </c>
      <c r="D117" s="51" t="s">
        <v>82</v>
      </c>
      <c r="E117" s="56" t="s">
        <v>2040</v>
      </c>
      <c r="F117" s="51" t="s">
        <v>362</v>
      </c>
      <c r="G117" s="42" t="s">
        <v>363</v>
      </c>
      <c r="H117" s="42">
        <v>90098985</v>
      </c>
      <c r="I117" s="302" t="s">
        <v>2120</v>
      </c>
      <c r="J117" s="69" t="s">
        <v>364</v>
      </c>
      <c r="K117" s="58">
        <v>4</v>
      </c>
      <c r="L117" s="252"/>
      <c r="M117" s="12">
        <f>9245-6260</f>
        <v>2985</v>
      </c>
      <c r="N117" s="12">
        <f>11945-7085</f>
        <v>4860</v>
      </c>
      <c r="O117" s="49">
        <f t="shared" si="5"/>
        <v>7845</v>
      </c>
      <c r="P117" s="252"/>
      <c r="Q117" s="12">
        <f>9245-6260</f>
        <v>2985</v>
      </c>
      <c r="R117" s="12">
        <f>11945-7085</f>
        <v>4860</v>
      </c>
      <c r="S117" s="49">
        <f t="shared" si="6"/>
        <v>7845</v>
      </c>
      <c r="T117" s="252"/>
      <c r="U117" s="49">
        <f t="shared" si="7"/>
        <v>5970</v>
      </c>
      <c r="V117" s="49">
        <f t="shared" si="8"/>
        <v>9720</v>
      </c>
      <c r="W117" s="49">
        <f t="shared" si="9"/>
        <v>15690</v>
      </c>
    </row>
    <row r="118" spans="1:23" ht="29.25">
      <c r="A118" s="251" t="s">
        <v>7</v>
      </c>
      <c r="B118" s="123" t="s">
        <v>8</v>
      </c>
      <c r="C118" s="56" t="s">
        <v>372</v>
      </c>
      <c r="D118" s="51" t="s">
        <v>326</v>
      </c>
      <c r="E118" s="56"/>
      <c r="F118" s="51" t="s">
        <v>2033</v>
      </c>
      <c r="G118" s="42" t="s">
        <v>363</v>
      </c>
      <c r="H118" s="42">
        <v>89124948</v>
      </c>
      <c r="I118" s="302" t="s">
        <v>2119</v>
      </c>
      <c r="J118" s="69" t="s">
        <v>364</v>
      </c>
      <c r="K118" s="58">
        <v>4</v>
      </c>
      <c r="L118" s="252"/>
      <c r="M118" s="12">
        <f>6391-3981</f>
        <v>2410</v>
      </c>
      <c r="N118" s="12">
        <f>10683-6290</f>
        <v>4393</v>
      </c>
      <c r="O118" s="49">
        <f t="shared" si="5"/>
        <v>6803</v>
      </c>
      <c r="P118" s="252"/>
      <c r="Q118" s="12">
        <f>6391-3981</f>
        <v>2410</v>
      </c>
      <c r="R118" s="12">
        <f>10683-6290</f>
        <v>4393</v>
      </c>
      <c r="S118" s="49">
        <f t="shared" si="6"/>
        <v>6803</v>
      </c>
      <c r="T118" s="252"/>
      <c r="U118" s="49">
        <f t="shared" si="7"/>
        <v>4820</v>
      </c>
      <c r="V118" s="49">
        <f t="shared" si="8"/>
        <v>8786</v>
      </c>
      <c r="W118" s="49">
        <f t="shared" si="9"/>
        <v>13606</v>
      </c>
    </row>
    <row r="119" spans="1:23" ht="29.25">
      <c r="A119" s="251" t="s">
        <v>7</v>
      </c>
      <c r="B119" s="123" t="s">
        <v>8</v>
      </c>
      <c r="C119" s="51" t="s">
        <v>390</v>
      </c>
      <c r="D119" s="51" t="s">
        <v>2124</v>
      </c>
      <c r="E119" s="56" t="s">
        <v>2125</v>
      </c>
      <c r="F119" s="51" t="s">
        <v>362</v>
      </c>
      <c r="G119" s="42" t="s">
        <v>363</v>
      </c>
      <c r="H119" s="42">
        <v>95802567</v>
      </c>
      <c r="I119" s="302" t="s">
        <v>2126</v>
      </c>
      <c r="J119" s="69" t="s">
        <v>364</v>
      </c>
      <c r="K119" s="58">
        <v>2</v>
      </c>
      <c r="L119" s="252"/>
      <c r="M119" s="12">
        <v>700</v>
      </c>
      <c r="N119" s="12">
        <v>1300</v>
      </c>
      <c r="O119" s="49">
        <f t="shared" si="5"/>
        <v>2000</v>
      </c>
      <c r="P119" s="252"/>
      <c r="Q119" s="12">
        <v>700</v>
      </c>
      <c r="R119" s="12">
        <v>1300</v>
      </c>
      <c r="S119" s="49">
        <f t="shared" si="6"/>
        <v>2000</v>
      </c>
      <c r="T119" s="252"/>
      <c r="U119" s="49">
        <f t="shared" si="7"/>
        <v>1400</v>
      </c>
      <c r="V119" s="49">
        <f t="shared" si="8"/>
        <v>2600</v>
      </c>
      <c r="W119" s="49">
        <f t="shared" si="9"/>
        <v>4000</v>
      </c>
    </row>
    <row r="120" spans="1:23" ht="29.25">
      <c r="A120" s="251" t="s">
        <v>7</v>
      </c>
      <c r="B120" s="123" t="s">
        <v>8</v>
      </c>
      <c r="C120" s="56" t="s">
        <v>388</v>
      </c>
      <c r="D120" s="51" t="s">
        <v>2127</v>
      </c>
      <c r="E120" s="56" t="s">
        <v>2128</v>
      </c>
      <c r="F120" s="51" t="s">
        <v>362</v>
      </c>
      <c r="G120" s="42" t="s">
        <v>363</v>
      </c>
      <c r="H120" s="42">
        <v>94963563</v>
      </c>
      <c r="I120" s="302" t="s">
        <v>2129</v>
      </c>
      <c r="J120" s="69" t="s">
        <v>364</v>
      </c>
      <c r="K120" s="58">
        <v>4</v>
      </c>
      <c r="L120" s="252"/>
      <c r="M120" s="12">
        <v>2000</v>
      </c>
      <c r="N120" s="12">
        <v>3500</v>
      </c>
      <c r="O120" s="49">
        <f t="shared" si="5"/>
        <v>5500</v>
      </c>
      <c r="P120" s="252"/>
      <c r="Q120" s="12">
        <v>2000</v>
      </c>
      <c r="R120" s="12">
        <v>3500</v>
      </c>
      <c r="S120" s="49">
        <f t="shared" si="6"/>
        <v>5500</v>
      </c>
      <c r="T120" s="252"/>
      <c r="U120" s="49">
        <f t="shared" si="7"/>
        <v>4000</v>
      </c>
      <c r="V120" s="49">
        <f t="shared" si="8"/>
        <v>7000</v>
      </c>
      <c r="W120" s="49">
        <f t="shared" si="9"/>
        <v>11000</v>
      </c>
    </row>
    <row r="121" spans="1:23" ht="29.25">
      <c r="A121" s="239" t="s">
        <v>7</v>
      </c>
      <c r="B121" s="56" t="s">
        <v>8</v>
      </c>
      <c r="C121" s="56" t="s">
        <v>360</v>
      </c>
      <c r="D121" s="56" t="s">
        <v>409</v>
      </c>
      <c r="E121" s="51"/>
      <c r="F121" s="51" t="s">
        <v>362</v>
      </c>
      <c r="G121" s="51" t="s">
        <v>363</v>
      </c>
      <c r="H121" s="42">
        <v>95800180</v>
      </c>
      <c r="I121" s="302" t="s">
        <v>1627</v>
      </c>
      <c r="J121" s="136" t="s">
        <v>12</v>
      </c>
      <c r="K121" s="58">
        <v>3</v>
      </c>
      <c r="L121" s="41"/>
      <c r="M121" s="12">
        <f>1820-1486</f>
        <v>334</v>
      </c>
      <c r="N121" s="12">
        <f>5437-4185</f>
        <v>1252</v>
      </c>
      <c r="O121" s="49">
        <f t="shared" si="5"/>
        <v>1586</v>
      </c>
      <c r="P121" s="41"/>
      <c r="Q121" s="12">
        <f>1820-1486</f>
        <v>334</v>
      </c>
      <c r="R121" s="12">
        <f>5437-4185</f>
        <v>1252</v>
      </c>
      <c r="S121" s="49">
        <f t="shared" si="6"/>
        <v>1586</v>
      </c>
      <c r="T121" s="41"/>
      <c r="U121" s="49">
        <f t="shared" si="7"/>
        <v>668</v>
      </c>
      <c r="V121" s="49">
        <f t="shared" si="8"/>
        <v>2504</v>
      </c>
      <c r="W121" s="49">
        <f t="shared" si="9"/>
        <v>3172</v>
      </c>
    </row>
    <row r="122" spans="1:23" ht="29.25">
      <c r="A122" s="239" t="s">
        <v>7</v>
      </c>
      <c r="B122" s="56" t="s">
        <v>8</v>
      </c>
      <c r="C122" s="56" t="s">
        <v>360</v>
      </c>
      <c r="D122" s="56" t="s">
        <v>410</v>
      </c>
      <c r="E122" s="51"/>
      <c r="F122" s="51" t="s">
        <v>362</v>
      </c>
      <c r="G122" s="51" t="s">
        <v>363</v>
      </c>
      <c r="H122" s="42">
        <v>95800133</v>
      </c>
      <c r="I122" s="302" t="s">
        <v>1628</v>
      </c>
      <c r="J122" s="136" t="s">
        <v>12</v>
      </c>
      <c r="K122" s="58">
        <v>1</v>
      </c>
      <c r="L122" s="41"/>
      <c r="M122" s="12">
        <f>2020-1621</f>
        <v>399</v>
      </c>
      <c r="N122" s="12">
        <f>6400-5112</f>
        <v>1288</v>
      </c>
      <c r="O122" s="49">
        <f t="shared" si="5"/>
        <v>1687</v>
      </c>
      <c r="P122" s="41"/>
      <c r="Q122" s="12">
        <f>2020-1621</f>
        <v>399</v>
      </c>
      <c r="R122" s="12">
        <f>6400-5112</f>
        <v>1288</v>
      </c>
      <c r="S122" s="49">
        <f t="shared" si="6"/>
        <v>1687</v>
      </c>
      <c r="T122" s="41"/>
      <c r="U122" s="49">
        <f t="shared" si="7"/>
        <v>798</v>
      </c>
      <c r="V122" s="49">
        <f t="shared" si="8"/>
        <v>2576</v>
      </c>
      <c r="W122" s="49">
        <f t="shared" si="9"/>
        <v>3374</v>
      </c>
    </row>
    <row r="123" spans="1:23" ht="29.25">
      <c r="A123" s="250" t="s">
        <v>7</v>
      </c>
      <c r="B123" s="123" t="s">
        <v>1282</v>
      </c>
      <c r="C123" s="56" t="s">
        <v>381</v>
      </c>
      <c r="D123" s="51" t="s">
        <v>1667</v>
      </c>
      <c r="E123" s="51" t="s">
        <v>1668</v>
      </c>
      <c r="F123" s="42" t="s">
        <v>362</v>
      </c>
      <c r="G123" s="42" t="s">
        <v>363</v>
      </c>
      <c r="H123" s="51">
        <v>120429</v>
      </c>
      <c r="I123" s="302" t="s">
        <v>1732</v>
      </c>
      <c r="J123" s="228" t="s">
        <v>12</v>
      </c>
      <c r="K123" s="58">
        <v>40</v>
      </c>
      <c r="L123" s="252"/>
      <c r="M123" s="12">
        <f>7906-5606</f>
        <v>2300</v>
      </c>
      <c r="N123" s="12">
        <f>15591-12702</f>
        <v>2889</v>
      </c>
      <c r="O123" s="49">
        <f t="shared" si="5"/>
        <v>5189</v>
      </c>
      <c r="P123" s="252"/>
      <c r="Q123" s="12">
        <f>7906-5606</f>
        <v>2300</v>
      </c>
      <c r="R123" s="12">
        <f>15591-12702</f>
        <v>2889</v>
      </c>
      <c r="S123" s="49">
        <f t="shared" si="6"/>
        <v>5189</v>
      </c>
      <c r="T123" s="252"/>
      <c r="U123" s="49">
        <f t="shared" si="7"/>
        <v>4600</v>
      </c>
      <c r="V123" s="49">
        <f t="shared" si="8"/>
        <v>5778</v>
      </c>
      <c r="W123" s="49">
        <f t="shared" si="9"/>
        <v>10378</v>
      </c>
    </row>
    <row r="124" spans="1:23" ht="43.5">
      <c r="A124" s="251" t="s">
        <v>7</v>
      </c>
      <c r="B124" s="123" t="s">
        <v>1282</v>
      </c>
      <c r="C124" s="56" t="s">
        <v>1647</v>
      </c>
      <c r="D124" s="51"/>
      <c r="E124" s="51" t="s">
        <v>2028</v>
      </c>
      <c r="F124" s="51" t="s">
        <v>2029</v>
      </c>
      <c r="G124" s="42" t="s">
        <v>416</v>
      </c>
      <c r="H124" s="25">
        <v>89115377</v>
      </c>
      <c r="I124" s="313" t="s">
        <v>2036</v>
      </c>
      <c r="J124" s="138" t="s">
        <v>147</v>
      </c>
      <c r="K124" s="58">
        <v>1</v>
      </c>
      <c r="L124" s="354">
        <f>6647-4283</f>
        <v>2364</v>
      </c>
      <c r="M124" s="41"/>
      <c r="N124" s="41"/>
      <c r="O124" s="550">
        <f>L124</f>
        <v>2364</v>
      </c>
      <c r="P124" s="354">
        <f>6647-4283</f>
        <v>2364</v>
      </c>
      <c r="Q124" s="41"/>
      <c r="R124" s="41"/>
      <c r="S124" s="550">
        <f>P124</f>
        <v>2364</v>
      </c>
      <c r="T124" s="354">
        <f>O124+S124</f>
        <v>4728</v>
      </c>
      <c r="U124" s="41"/>
      <c r="V124" s="41"/>
      <c r="W124" s="550">
        <f>T124</f>
        <v>4728</v>
      </c>
    </row>
    <row r="125" spans="1:23" ht="30" thickBot="1">
      <c r="A125" s="251" t="s">
        <v>7</v>
      </c>
      <c r="B125" s="123" t="s">
        <v>8</v>
      </c>
      <c r="C125" s="56" t="s">
        <v>363</v>
      </c>
      <c r="D125" s="51" t="s">
        <v>2041</v>
      </c>
      <c r="E125" s="56"/>
      <c r="F125" s="51" t="s">
        <v>362</v>
      </c>
      <c r="G125" s="42" t="s">
        <v>363</v>
      </c>
      <c r="H125" s="42">
        <v>92094675</v>
      </c>
      <c r="I125" s="313" t="s">
        <v>2118</v>
      </c>
      <c r="J125" s="138" t="s">
        <v>147</v>
      </c>
      <c r="K125" s="58">
        <v>2</v>
      </c>
      <c r="L125" s="12">
        <f>3411-1705</f>
        <v>1706</v>
      </c>
      <c r="M125" s="252"/>
      <c r="N125" s="252"/>
      <c r="O125" s="550">
        <f>L125</f>
        <v>1706</v>
      </c>
      <c r="P125" s="12">
        <f>3411-1705</f>
        <v>1706</v>
      </c>
      <c r="Q125" s="252"/>
      <c r="R125" s="252"/>
      <c r="S125" s="550">
        <f>P125</f>
        <v>1706</v>
      </c>
      <c r="T125" s="354">
        <f>O125+S125</f>
        <v>3412</v>
      </c>
      <c r="U125" s="252"/>
      <c r="V125" s="252"/>
      <c r="W125" s="550">
        <f>T125</f>
        <v>3412</v>
      </c>
    </row>
    <row r="126" spans="1:23" ht="42" customHeight="1">
      <c r="A126" s="637"/>
      <c r="B126" s="418" t="s">
        <v>150</v>
      </c>
      <c r="C126" s="249" t="s">
        <v>413</v>
      </c>
      <c r="D126" s="32"/>
      <c r="E126" s="64"/>
      <c r="F126" s="46"/>
      <c r="G126" s="46"/>
      <c r="H126" s="521" t="s">
        <v>2030</v>
      </c>
      <c r="I126" s="419" t="s">
        <v>413</v>
      </c>
      <c r="J126" s="637"/>
      <c r="K126" s="637"/>
      <c r="L126" s="46"/>
      <c r="M126" s="181"/>
      <c r="N126" s="49" t="s">
        <v>151</v>
      </c>
      <c r="O126" s="279">
        <f>SUM(O18:O125)</f>
        <v>1382705</v>
      </c>
      <c r="R126" s="49" t="s">
        <v>151</v>
      </c>
      <c r="S126" s="279">
        <f>SUM(S18:S125)</f>
        <v>1382705</v>
      </c>
      <c r="V126" s="49" t="s">
        <v>151</v>
      </c>
      <c r="W126" s="279">
        <f>SUM(W18:W125)</f>
        <v>2765410</v>
      </c>
    </row>
    <row r="127" spans="1:14" ht="15">
      <c r="A127" s="355"/>
      <c r="B127" s="133"/>
      <c r="C127" s="72" t="s">
        <v>1914</v>
      </c>
      <c r="D127" s="36"/>
      <c r="E127" s="64"/>
      <c r="H127" s="254"/>
      <c r="I127" s="420" t="s">
        <v>1914</v>
      </c>
      <c r="J127" s="355"/>
      <c r="K127" s="355"/>
      <c r="L127" s="2"/>
      <c r="M127" s="2"/>
      <c r="N127" s="2"/>
    </row>
    <row r="128" spans="1:15" ht="15.75" thickBot="1">
      <c r="A128" s="637"/>
      <c r="B128" s="133"/>
      <c r="C128" s="72" t="s">
        <v>414</v>
      </c>
      <c r="D128" s="36"/>
      <c r="E128" s="64"/>
      <c r="F128" s="46"/>
      <c r="G128" s="46"/>
      <c r="H128" s="268"/>
      <c r="I128" s="421" t="s">
        <v>414</v>
      </c>
      <c r="J128" s="637"/>
      <c r="K128" s="637"/>
      <c r="L128" s="46"/>
      <c r="M128" s="181"/>
      <c r="N128" s="181"/>
      <c r="O128" s="46"/>
    </row>
    <row r="129" spans="2:14" ht="15">
      <c r="B129" s="422" t="s">
        <v>1640</v>
      </c>
      <c r="C129" s="426">
        <v>8222160292</v>
      </c>
      <c r="D129" s="36"/>
      <c r="E129" s="64"/>
      <c r="M129" s="2"/>
      <c r="N129" s="2"/>
    </row>
    <row r="130" spans="2:14" ht="15.75" thickBot="1">
      <c r="B130" s="330" t="s">
        <v>1644</v>
      </c>
      <c r="C130" s="73" t="s">
        <v>1664</v>
      </c>
      <c r="D130" s="39"/>
      <c r="E130" s="64"/>
      <c r="M130" s="2"/>
      <c r="N130" s="2"/>
    </row>
    <row r="131" spans="2:14" ht="15">
      <c r="B131" s="64"/>
      <c r="C131" s="72"/>
      <c r="D131" s="64"/>
      <c r="M131" s="2"/>
      <c r="N131" s="2"/>
    </row>
    <row r="132" spans="1:14" ht="15">
      <c r="A132" s="355"/>
      <c r="B132" s="64"/>
      <c r="C132" s="72"/>
      <c r="D132" s="64"/>
      <c r="J132" s="355"/>
      <c r="K132" s="355"/>
      <c r="M132" s="2"/>
      <c r="N132" s="2"/>
    </row>
    <row r="133" spans="1:14" ht="15">
      <c r="A133" s="355"/>
      <c r="B133" s="64"/>
      <c r="C133" s="72"/>
      <c r="D133" s="64"/>
      <c r="J133" s="355"/>
      <c r="K133" s="355"/>
      <c r="M133" s="2"/>
      <c r="N133" s="2"/>
    </row>
    <row r="134" spans="5:18" ht="14.25">
      <c r="E134" s="29"/>
      <c r="F134" s="29"/>
      <c r="G134" s="29"/>
      <c r="H134" s="29"/>
      <c r="I134" s="29"/>
      <c r="J134" s="82"/>
      <c r="K134" s="196"/>
      <c r="L134" s="196"/>
      <c r="M134" s="196"/>
      <c r="N134" s="196"/>
      <c r="O134" s="196"/>
      <c r="P134" s="18"/>
      <c r="Q134" s="18"/>
      <c r="R134" s="18"/>
    </row>
    <row r="135" spans="2:18" ht="15.75" thickBot="1">
      <c r="B135" s="64"/>
      <c r="C135" s="72"/>
      <c r="D135" s="72"/>
      <c r="E135" s="29"/>
      <c r="F135" s="29"/>
      <c r="G135" s="29"/>
      <c r="H135" s="29"/>
      <c r="I135" s="29"/>
      <c r="J135" s="82"/>
      <c r="K135" s="196"/>
      <c r="L135" s="196"/>
      <c r="M135" s="196"/>
      <c r="N135" s="196"/>
      <c r="O135" s="196"/>
      <c r="P135" s="18"/>
      <c r="Q135" s="18"/>
      <c r="R135" s="18"/>
    </row>
    <row r="136" spans="4:18" ht="46.5" customHeight="1">
      <c r="D136" s="29"/>
      <c r="E136" s="29"/>
      <c r="F136" s="146"/>
      <c r="G136" s="146"/>
      <c r="I136" s="146"/>
      <c r="J136" s="29"/>
      <c r="K136" s="772" t="s">
        <v>152</v>
      </c>
      <c r="L136" s="774" t="s">
        <v>2257</v>
      </c>
      <c r="M136" s="775"/>
      <c r="N136" s="776"/>
      <c r="O136" s="768" t="s">
        <v>153</v>
      </c>
      <c r="P136" s="18"/>
      <c r="Q136" s="18"/>
      <c r="R136" s="18"/>
    </row>
    <row r="137" spans="4:18" ht="20.25" customHeight="1" thickBot="1">
      <c r="D137" s="29"/>
      <c r="E137" s="29"/>
      <c r="F137" s="146"/>
      <c r="G137" s="194"/>
      <c r="I137" s="194"/>
      <c r="J137" s="29"/>
      <c r="K137" s="773"/>
      <c r="L137" s="115" t="s">
        <v>154</v>
      </c>
      <c r="M137" s="115" t="s">
        <v>1017</v>
      </c>
      <c r="N137" s="115" t="s">
        <v>1018</v>
      </c>
      <c r="O137" s="769"/>
      <c r="P137" s="18"/>
      <c r="Q137" s="18"/>
      <c r="R137" s="18"/>
    </row>
    <row r="138" spans="1:18" ht="20.25" customHeight="1">
      <c r="A138" s="355"/>
      <c r="D138" s="29"/>
      <c r="E138" s="29"/>
      <c r="F138" s="146"/>
      <c r="G138" s="194"/>
      <c r="I138" s="194"/>
      <c r="J138" s="29"/>
      <c r="K138" s="552" t="s">
        <v>147</v>
      </c>
      <c r="L138" s="596">
        <f>SUM(W124:W125)</f>
        <v>8140</v>
      </c>
      <c r="M138" s="553"/>
      <c r="N138" s="553"/>
      <c r="O138" s="597">
        <v>2</v>
      </c>
      <c r="P138" s="18"/>
      <c r="Q138" s="18"/>
      <c r="R138" s="18"/>
    </row>
    <row r="139" spans="4:18" ht="14.25">
      <c r="D139" s="29"/>
      <c r="E139" s="29"/>
      <c r="F139" s="29"/>
      <c r="G139" s="135"/>
      <c r="I139" s="135"/>
      <c r="J139" s="29"/>
      <c r="K139" s="551" t="s">
        <v>12</v>
      </c>
      <c r="L139" s="276"/>
      <c r="M139" s="598">
        <f>SUM(U121:U123)</f>
        <v>6066</v>
      </c>
      <c r="N139" s="598">
        <f>SUM(V121:V123)</f>
        <v>10858</v>
      </c>
      <c r="O139" s="599">
        <v>3</v>
      </c>
      <c r="P139" s="18"/>
      <c r="Q139" s="18"/>
      <c r="R139" s="18"/>
    </row>
    <row r="140" spans="4:18" ht="15" thickBot="1">
      <c r="D140" s="29"/>
      <c r="E140" s="29"/>
      <c r="F140" s="29"/>
      <c r="G140" s="135"/>
      <c r="I140" s="135"/>
      <c r="J140" s="29"/>
      <c r="K140" s="586" t="s">
        <v>364</v>
      </c>
      <c r="L140" s="118"/>
      <c r="M140" s="583">
        <f>SUM(U18:U120)</f>
        <v>1047296</v>
      </c>
      <c r="N140" s="583">
        <f>SUM(V18:V120)</f>
        <v>1693050</v>
      </c>
      <c r="O140" s="689">
        <v>103</v>
      </c>
      <c r="P140" s="18"/>
      <c r="Q140" s="18"/>
      <c r="R140" s="18"/>
    </row>
    <row r="141" spans="4:15" ht="15" thickBot="1">
      <c r="D141" s="29"/>
      <c r="E141" s="29"/>
      <c r="F141" s="128"/>
      <c r="G141" s="135"/>
      <c r="I141" s="135"/>
      <c r="J141" s="29"/>
      <c r="K141" s="14" t="s">
        <v>155</v>
      </c>
      <c r="L141" s="16">
        <f>SUM(L138:L140)</f>
        <v>8140</v>
      </c>
      <c r="M141" s="16">
        <f>SUM(M138:M140)</f>
        <v>1053362</v>
      </c>
      <c r="N141" s="16">
        <f>SUM(N138:N140)</f>
        <v>1703908</v>
      </c>
      <c r="O141" s="595">
        <f>SUM(O138:O140)</f>
        <v>108</v>
      </c>
    </row>
    <row r="142" spans="4:15" ht="18.75" thickBot="1">
      <c r="D142" s="29"/>
      <c r="E142" s="29"/>
      <c r="F142" s="29"/>
      <c r="G142" s="196"/>
      <c r="I142" s="135"/>
      <c r="J142" s="29"/>
      <c r="K142"/>
      <c r="L142" s="18" t="s">
        <v>156</v>
      </c>
      <c r="M142" s="273">
        <f>SUM(L141:N141)</f>
        <v>2765410</v>
      </c>
      <c r="N142" s="2"/>
      <c r="O142" s="2"/>
    </row>
    <row r="143" spans="4:15" ht="14.25">
      <c r="D143" s="29"/>
      <c r="E143" s="29"/>
      <c r="F143" s="29"/>
      <c r="G143" s="29"/>
      <c r="I143" s="29"/>
      <c r="J143" s="82"/>
      <c r="K143" s="82"/>
      <c r="L143" s="29"/>
      <c r="M143" s="29"/>
      <c r="N143" s="29"/>
      <c r="O143" s="29"/>
    </row>
    <row r="144" spans="4:15" ht="14.25">
      <c r="D144" s="29"/>
      <c r="E144" s="29"/>
      <c r="F144" s="29"/>
      <c r="G144" s="29"/>
      <c r="H144" s="29"/>
      <c r="I144" s="29"/>
      <c r="J144" s="82"/>
      <c r="K144" s="82"/>
      <c r="L144" s="29"/>
      <c r="M144" s="29"/>
      <c r="N144" s="29"/>
      <c r="O144" s="29"/>
    </row>
  </sheetData>
  <sheetProtection/>
  <mergeCells count="23">
    <mergeCell ref="B1:L1"/>
    <mergeCell ref="K136:K137"/>
    <mergeCell ref="L136:N136"/>
    <mergeCell ref="O136:O137"/>
    <mergeCell ref="K15:K17"/>
    <mergeCell ref="L15:O15"/>
    <mergeCell ref="B3:I3"/>
    <mergeCell ref="B5:I5"/>
    <mergeCell ref="E15:E17"/>
    <mergeCell ref="F15:F17"/>
    <mergeCell ref="T15:W15"/>
    <mergeCell ref="P16:S16"/>
    <mergeCell ref="T16:W16"/>
    <mergeCell ref="L16:O16"/>
    <mergeCell ref="G15:G17"/>
    <mergeCell ref="H15:H17"/>
    <mergeCell ref="I15:I17"/>
    <mergeCell ref="A15:A17"/>
    <mergeCell ref="B15:B17"/>
    <mergeCell ref="C15:C17"/>
    <mergeCell ref="D15:D17"/>
    <mergeCell ref="J15:J17"/>
    <mergeCell ref="P15:S1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9"/>
  <sheetViews>
    <sheetView zoomScale="50" zoomScaleNormal="50" zoomScalePageLayoutView="0" workbookViewId="0" topLeftCell="A1">
      <selection activeCell="P9" sqref="P9"/>
    </sheetView>
  </sheetViews>
  <sheetFormatPr defaultColWidth="8.796875" defaultRowHeight="14.25"/>
  <cols>
    <col min="1" max="1" width="11.19921875" style="0" customWidth="1"/>
    <col min="2" max="2" width="17.09765625" style="110" customWidth="1"/>
    <col min="3" max="3" width="16.59765625" style="110" customWidth="1"/>
    <col min="4" max="4" width="14.8984375" style="110" customWidth="1"/>
    <col min="6" max="6" width="10.19921875" style="0" customWidth="1"/>
    <col min="7" max="7" width="13.59765625" style="0" customWidth="1"/>
    <col min="8" max="8" width="26.59765625" style="0" customWidth="1"/>
    <col min="9" max="9" width="22.69921875" style="0" customWidth="1"/>
    <col min="10" max="10" width="13.09765625" style="1" customWidth="1"/>
    <col min="11" max="11" width="12.5" style="0" customWidth="1"/>
    <col min="12" max="12" width="15.19921875" style="0" customWidth="1"/>
    <col min="13" max="13" width="15.8984375" style="0" customWidth="1"/>
    <col min="14" max="14" width="17.5" style="0" customWidth="1"/>
    <col min="15" max="15" width="15.19921875" style="0" customWidth="1"/>
    <col min="16" max="16" width="13.3984375" style="0" customWidth="1"/>
    <col min="17" max="17" width="13.59765625" style="0" customWidth="1"/>
    <col min="18" max="18" width="13.8984375" style="0" customWidth="1"/>
    <col min="19" max="19" width="16.5" style="0" customWidth="1"/>
    <col min="20" max="20" width="22.59765625" style="0" customWidth="1"/>
    <col min="21" max="21" width="23.69921875" style="0" customWidth="1"/>
    <col min="22" max="22" width="18.09765625" style="0" customWidth="1"/>
    <col min="23" max="23" width="12.69921875" style="0" customWidth="1"/>
  </cols>
  <sheetData>
    <row r="1" spans="2:15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2"/>
      <c r="N1" s="2"/>
      <c r="O1" s="2"/>
    </row>
    <row r="2" spans="2:15" ht="15">
      <c r="B2" s="182"/>
      <c r="C2" s="182"/>
      <c r="D2" s="182"/>
      <c r="E2" s="182"/>
      <c r="F2" s="182"/>
      <c r="G2" s="182"/>
      <c r="H2" s="182"/>
      <c r="I2" s="183"/>
      <c r="J2" s="184"/>
      <c r="L2" s="2"/>
      <c r="M2" s="2"/>
      <c r="N2" s="2"/>
      <c r="O2" s="2"/>
    </row>
    <row r="3" spans="2:15" ht="24.75" customHeight="1">
      <c r="B3" s="785" t="s">
        <v>1031</v>
      </c>
      <c r="C3" s="786"/>
      <c r="D3" s="786"/>
      <c r="E3" s="786"/>
      <c r="F3" s="786"/>
      <c r="G3" s="786"/>
      <c r="H3" s="786"/>
      <c r="I3" s="786"/>
      <c r="J3" s="184"/>
      <c r="L3" s="2"/>
      <c r="M3" s="2"/>
      <c r="N3" s="2"/>
      <c r="O3" s="2"/>
    </row>
    <row r="4" spans="2:15" ht="15">
      <c r="B4" s="183"/>
      <c r="C4" s="183"/>
      <c r="D4" s="183"/>
      <c r="E4" s="183"/>
      <c r="F4" s="183"/>
      <c r="G4" s="183"/>
      <c r="H4" s="183"/>
      <c r="I4" s="183"/>
      <c r="J4" s="184"/>
      <c r="L4" s="2"/>
      <c r="M4" s="2"/>
      <c r="N4" s="2"/>
      <c r="O4" s="2"/>
    </row>
    <row r="5" spans="2:15" ht="15">
      <c r="B5" s="755" t="s">
        <v>1012</v>
      </c>
      <c r="C5" s="755"/>
      <c r="D5" s="755"/>
      <c r="E5" s="755"/>
      <c r="F5" s="755"/>
      <c r="G5" s="755"/>
      <c r="H5" s="755"/>
      <c r="I5" s="755"/>
      <c r="J5" s="184"/>
      <c r="L5" s="2"/>
      <c r="M5" s="2"/>
      <c r="N5" s="2"/>
      <c r="O5" s="2"/>
    </row>
    <row r="6" spans="2:15" ht="15">
      <c r="B6" s="183"/>
      <c r="C6" s="183"/>
      <c r="D6" s="183"/>
      <c r="E6" s="183"/>
      <c r="F6" s="183"/>
      <c r="G6" s="183"/>
      <c r="H6" s="183"/>
      <c r="I6" s="183"/>
      <c r="J6" s="184"/>
      <c r="L6" s="2"/>
      <c r="M6" s="2"/>
      <c r="N6" s="2"/>
      <c r="O6" s="2"/>
    </row>
    <row r="7" spans="2:15" ht="15.75">
      <c r="B7" s="383" t="s">
        <v>950</v>
      </c>
      <c r="C7" s="182"/>
      <c r="D7" s="183"/>
      <c r="E7" s="183"/>
      <c r="F7" s="183"/>
      <c r="G7" s="182"/>
      <c r="H7" s="182"/>
      <c r="I7" s="183"/>
      <c r="J7" s="184"/>
      <c r="L7" s="2"/>
      <c r="M7" s="2"/>
      <c r="N7" s="2"/>
      <c r="O7" s="2"/>
    </row>
    <row r="8" spans="2:15" ht="15.75">
      <c r="B8" s="383" t="s">
        <v>2031</v>
      </c>
      <c r="C8" s="182"/>
      <c r="D8" s="183"/>
      <c r="E8" s="183"/>
      <c r="F8" s="183"/>
      <c r="G8" s="182"/>
      <c r="H8" s="182"/>
      <c r="I8" s="183"/>
      <c r="J8" s="184"/>
      <c r="L8" s="2"/>
      <c r="M8" s="2"/>
      <c r="N8" s="2"/>
      <c r="O8" s="2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5" ht="15.75">
      <c r="B10" s="186" t="s">
        <v>1634</v>
      </c>
      <c r="C10" s="182"/>
      <c r="D10" s="187"/>
      <c r="E10" s="183"/>
      <c r="F10" s="183"/>
      <c r="G10" s="182"/>
      <c r="H10" s="182"/>
      <c r="I10" s="183"/>
      <c r="J10" s="184"/>
      <c r="L10" s="2"/>
      <c r="M10" s="2"/>
      <c r="N10" s="2"/>
      <c r="O10" s="2"/>
    </row>
    <row r="11" spans="2:15" ht="15">
      <c r="B11" s="182" t="s">
        <v>1024</v>
      </c>
      <c r="C11" s="182"/>
      <c r="D11" s="182"/>
      <c r="E11" s="182"/>
      <c r="F11" s="182"/>
      <c r="G11" s="182"/>
      <c r="H11" s="182"/>
      <c r="I11" s="183"/>
      <c r="J11" s="184"/>
      <c r="L11" s="2"/>
      <c r="M11" s="2"/>
      <c r="N11" s="2"/>
      <c r="O11" s="2"/>
    </row>
    <row r="12" spans="2:15" ht="15.75">
      <c r="B12" s="188" t="s">
        <v>1013</v>
      </c>
      <c r="C12" s="189" t="s">
        <v>1014</v>
      </c>
      <c r="D12" s="187"/>
      <c r="E12" s="187"/>
      <c r="F12" s="187"/>
      <c r="G12" s="187"/>
      <c r="H12" s="187"/>
      <c r="I12" s="190"/>
      <c r="J12" s="184"/>
      <c r="L12" s="2"/>
      <c r="M12" s="2"/>
      <c r="N12" s="2"/>
      <c r="O12" s="2"/>
    </row>
    <row r="13" spans="2:15" ht="15.75">
      <c r="B13" s="188" t="s">
        <v>1015</v>
      </c>
      <c r="C13" s="185" t="s">
        <v>1016</v>
      </c>
      <c r="D13" s="187"/>
      <c r="E13" s="187"/>
      <c r="F13" s="187"/>
      <c r="G13" s="187"/>
      <c r="H13" s="187"/>
      <c r="I13" s="190"/>
      <c r="J13" s="184"/>
      <c r="L13" s="2"/>
      <c r="M13" s="2"/>
      <c r="N13" s="2"/>
      <c r="O13" s="2"/>
    </row>
    <row r="14" spans="1:15" ht="15" thickBot="1">
      <c r="A14" s="29"/>
      <c r="B14" s="129"/>
      <c r="C14" s="128"/>
      <c r="D14" s="128"/>
      <c r="E14" s="29"/>
      <c r="F14" s="29"/>
      <c r="G14" s="541"/>
      <c r="H14" s="541"/>
      <c r="I14" s="541"/>
      <c r="L14" s="2"/>
      <c r="M14" s="2"/>
      <c r="N14" s="2"/>
      <c r="O14" s="2"/>
    </row>
    <row r="15" spans="1:23" ht="51" customHeight="1">
      <c r="A15" s="788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91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6.5" customHeight="1">
      <c r="A16" s="789"/>
      <c r="B16" s="763"/>
      <c r="C16" s="766"/>
      <c r="D16" s="766"/>
      <c r="E16" s="757"/>
      <c r="F16" s="757"/>
      <c r="G16" s="766"/>
      <c r="H16" s="757"/>
      <c r="I16" s="757"/>
      <c r="J16" s="757"/>
      <c r="K16" s="792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2.25" customHeight="1" thickBot="1">
      <c r="A17" s="790"/>
      <c r="B17" s="764"/>
      <c r="C17" s="767"/>
      <c r="D17" s="767"/>
      <c r="E17" s="758"/>
      <c r="F17" s="758"/>
      <c r="G17" s="767"/>
      <c r="H17" s="758"/>
      <c r="I17" s="758"/>
      <c r="J17" s="758"/>
      <c r="K17" s="793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43.5">
      <c r="A18" s="234" t="s">
        <v>7</v>
      </c>
      <c r="B18" s="131" t="s">
        <v>415</v>
      </c>
      <c r="C18" s="56" t="s">
        <v>1647</v>
      </c>
      <c r="D18" s="132"/>
      <c r="E18" s="51"/>
      <c r="F18" s="75" t="s">
        <v>418</v>
      </c>
      <c r="G18" s="51" t="s">
        <v>416</v>
      </c>
      <c r="H18" s="302" t="s">
        <v>495</v>
      </c>
      <c r="I18" s="656">
        <v>95802524</v>
      </c>
      <c r="J18" s="138" t="s">
        <v>364</v>
      </c>
      <c r="K18" s="301">
        <v>2</v>
      </c>
      <c r="L18" s="41"/>
      <c r="M18" s="79">
        <f>1255-156</f>
        <v>1099</v>
      </c>
      <c r="N18" s="77">
        <f>2477-324</f>
        <v>2153</v>
      </c>
      <c r="O18" s="171">
        <f>M18+N18</f>
        <v>3252</v>
      </c>
      <c r="P18" s="41"/>
      <c r="Q18" s="79">
        <f>1255-156</f>
        <v>1099</v>
      </c>
      <c r="R18" s="77">
        <f>2477-324</f>
        <v>2153</v>
      </c>
      <c r="S18" s="171">
        <f>Q18+R18</f>
        <v>3252</v>
      </c>
      <c r="T18" s="41"/>
      <c r="U18" s="79">
        <f>M18+Q18</f>
        <v>2198</v>
      </c>
      <c r="V18" s="79">
        <f>N18+R18</f>
        <v>4306</v>
      </c>
      <c r="W18" s="171">
        <f>U18+V18</f>
        <v>6504</v>
      </c>
    </row>
    <row r="19" spans="1:23" ht="43.5">
      <c r="A19" s="234" t="s">
        <v>7</v>
      </c>
      <c r="B19" s="131" t="s">
        <v>415</v>
      </c>
      <c r="C19" s="56" t="s">
        <v>1647</v>
      </c>
      <c r="D19" s="132"/>
      <c r="E19" s="51"/>
      <c r="F19" s="75" t="s">
        <v>418</v>
      </c>
      <c r="G19" s="51" t="s">
        <v>416</v>
      </c>
      <c r="H19" s="302" t="s">
        <v>496</v>
      </c>
      <c r="I19" s="656">
        <v>92953721</v>
      </c>
      <c r="J19" s="138" t="s">
        <v>364</v>
      </c>
      <c r="K19" s="301">
        <v>3.2</v>
      </c>
      <c r="L19" s="41"/>
      <c r="M19" s="79">
        <f>2125-263</f>
        <v>1862</v>
      </c>
      <c r="N19" s="77">
        <f>4533-577</f>
        <v>3956</v>
      </c>
      <c r="O19" s="171">
        <f aca="true" t="shared" si="0" ref="O19:O82">M19+N19</f>
        <v>5818</v>
      </c>
      <c r="P19" s="41"/>
      <c r="Q19" s="79">
        <f>2125-263</f>
        <v>1862</v>
      </c>
      <c r="R19" s="77">
        <f>4533-577</f>
        <v>3956</v>
      </c>
      <c r="S19" s="171">
        <f aca="true" t="shared" si="1" ref="S19:S82">Q19+R19</f>
        <v>5818</v>
      </c>
      <c r="T19" s="41"/>
      <c r="U19" s="79">
        <f aca="true" t="shared" si="2" ref="U19:U82">M19+Q19</f>
        <v>3724</v>
      </c>
      <c r="V19" s="79">
        <f aca="true" t="shared" si="3" ref="V19:V82">N19+R19</f>
        <v>7912</v>
      </c>
      <c r="W19" s="171">
        <f aca="true" t="shared" si="4" ref="W19:W82">U19+V19</f>
        <v>11636</v>
      </c>
    </row>
    <row r="20" spans="1:23" ht="18">
      <c r="A20" s="234" t="s">
        <v>7</v>
      </c>
      <c r="B20" s="56" t="s">
        <v>415</v>
      </c>
      <c r="C20" s="56" t="s">
        <v>416</v>
      </c>
      <c r="D20" s="56" t="s">
        <v>428</v>
      </c>
      <c r="E20" s="51" t="s">
        <v>2159</v>
      </c>
      <c r="F20" s="75" t="s">
        <v>418</v>
      </c>
      <c r="G20" s="51" t="s">
        <v>416</v>
      </c>
      <c r="H20" s="302" t="s">
        <v>429</v>
      </c>
      <c r="I20" s="656">
        <v>95794795</v>
      </c>
      <c r="J20" s="137" t="s">
        <v>364</v>
      </c>
      <c r="K20" s="301">
        <v>4</v>
      </c>
      <c r="L20" s="41"/>
      <c r="M20" s="78">
        <f>2752-350</f>
        <v>2402</v>
      </c>
      <c r="N20" s="78">
        <f>5649-786</f>
        <v>4863</v>
      </c>
      <c r="O20" s="171">
        <f t="shared" si="0"/>
        <v>7265</v>
      </c>
      <c r="P20" s="41"/>
      <c r="Q20" s="78">
        <f>2752-350</f>
        <v>2402</v>
      </c>
      <c r="R20" s="78">
        <f>5649-786</f>
        <v>4863</v>
      </c>
      <c r="S20" s="171">
        <f t="shared" si="1"/>
        <v>7265</v>
      </c>
      <c r="T20" s="41"/>
      <c r="U20" s="79">
        <f t="shared" si="2"/>
        <v>4804</v>
      </c>
      <c r="V20" s="79">
        <f t="shared" si="3"/>
        <v>9726</v>
      </c>
      <c r="W20" s="171">
        <f t="shared" si="4"/>
        <v>14530</v>
      </c>
    </row>
    <row r="21" spans="1:23" ht="18">
      <c r="A21" s="234" t="s">
        <v>7</v>
      </c>
      <c r="B21" s="56" t="s">
        <v>415</v>
      </c>
      <c r="C21" s="56" t="s">
        <v>416</v>
      </c>
      <c r="D21" s="56" t="s">
        <v>200</v>
      </c>
      <c r="E21" s="51"/>
      <c r="F21" s="75" t="s">
        <v>418</v>
      </c>
      <c r="G21" s="51" t="s">
        <v>416</v>
      </c>
      <c r="H21" s="302" t="s">
        <v>427</v>
      </c>
      <c r="I21" s="656">
        <v>95794854</v>
      </c>
      <c r="J21" s="137" t="s">
        <v>364</v>
      </c>
      <c r="K21" s="301">
        <v>0.9</v>
      </c>
      <c r="L21" s="41"/>
      <c r="M21" s="78">
        <f>2164-273</f>
        <v>1891</v>
      </c>
      <c r="N21" s="78">
        <f>4574-624</f>
        <v>3950</v>
      </c>
      <c r="O21" s="171">
        <f t="shared" si="0"/>
        <v>5841</v>
      </c>
      <c r="P21" s="41"/>
      <c r="Q21" s="78">
        <f>2164-273</f>
        <v>1891</v>
      </c>
      <c r="R21" s="78">
        <f>4574-624</f>
        <v>3950</v>
      </c>
      <c r="S21" s="171">
        <f t="shared" si="1"/>
        <v>5841</v>
      </c>
      <c r="T21" s="41"/>
      <c r="U21" s="79">
        <f t="shared" si="2"/>
        <v>3782</v>
      </c>
      <c r="V21" s="79">
        <f t="shared" si="3"/>
        <v>7900</v>
      </c>
      <c r="W21" s="171">
        <f t="shared" si="4"/>
        <v>11682</v>
      </c>
    </row>
    <row r="22" spans="1:23" ht="18">
      <c r="A22" s="234" t="s">
        <v>7</v>
      </c>
      <c r="B22" s="56" t="s">
        <v>415</v>
      </c>
      <c r="C22" s="56" t="s">
        <v>416</v>
      </c>
      <c r="D22" s="56" t="s">
        <v>194</v>
      </c>
      <c r="E22" s="51"/>
      <c r="F22" s="75" t="s">
        <v>418</v>
      </c>
      <c r="G22" s="51" t="s">
        <v>416</v>
      </c>
      <c r="H22" s="302" t="s">
        <v>425</v>
      </c>
      <c r="I22" s="656">
        <v>95794801</v>
      </c>
      <c r="J22" s="137" t="s">
        <v>364</v>
      </c>
      <c r="K22" s="301">
        <v>3.3</v>
      </c>
      <c r="L22" s="41"/>
      <c r="M22" s="78">
        <f>5831-692</f>
        <v>5139</v>
      </c>
      <c r="N22" s="78">
        <f>11563-1518</f>
        <v>10045</v>
      </c>
      <c r="O22" s="171">
        <f t="shared" si="0"/>
        <v>15184</v>
      </c>
      <c r="P22" s="41"/>
      <c r="Q22" s="78">
        <f>5831-692</f>
        <v>5139</v>
      </c>
      <c r="R22" s="78">
        <f>11563-1518</f>
        <v>10045</v>
      </c>
      <c r="S22" s="171">
        <f t="shared" si="1"/>
        <v>15184</v>
      </c>
      <c r="T22" s="41"/>
      <c r="U22" s="79">
        <f t="shared" si="2"/>
        <v>10278</v>
      </c>
      <c r="V22" s="79">
        <f t="shared" si="3"/>
        <v>20090</v>
      </c>
      <c r="W22" s="171">
        <f t="shared" si="4"/>
        <v>30368</v>
      </c>
    </row>
    <row r="23" spans="1:23" ht="29.25">
      <c r="A23" s="234" t="s">
        <v>7</v>
      </c>
      <c r="B23" s="56" t="s">
        <v>415</v>
      </c>
      <c r="C23" s="56" t="s">
        <v>416</v>
      </c>
      <c r="D23" s="56" t="s">
        <v>430</v>
      </c>
      <c r="E23" s="51"/>
      <c r="F23" s="75" t="s">
        <v>418</v>
      </c>
      <c r="G23" s="51" t="s">
        <v>416</v>
      </c>
      <c r="H23" s="302" t="s">
        <v>431</v>
      </c>
      <c r="I23" s="656">
        <v>95794864</v>
      </c>
      <c r="J23" s="137" t="s">
        <v>364</v>
      </c>
      <c r="K23" s="301">
        <v>3</v>
      </c>
      <c r="L23" s="41"/>
      <c r="M23" s="78">
        <f>5887-4177</f>
        <v>1710</v>
      </c>
      <c r="N23" s="78">
        <f>20856-14884</f>
        <v>5972</v>
      </c>
      <c r="O23" s="171">
        <f t="shared" si="0"/>
        <v>7682</v>
      </c>
      <c r="P23" s="41"/>
      <c r="Q23" s="78">
        <f>5887-4177</f>
        <v>1710</v>
      </c>
      <c r="R23" s="78">
        <f>20856-14884</f>
        <v>5972</v>
      </c>
      <c r="S23" s="171">
        <f t="shared" si="1"/>
        <v>7682</v>
      </c>
      <c r="T23" s="41"/>
      <c r="U23" s="79">
        <f t="shared" si="2"/>
        <v>3420</v>
      </c>
      <c r="V23" s="79">
        <f t="shared" si="3"/>
        <v>11944</v>
      </c>
      <c r="W23" s="171">
        <f t="shared" si="4"/>
        <v>15364</v>
      </c>
    </row>
    <row r="24" spans="1:23" ht="18">
      <c r="A24" s="234" t="s">
        <v>7</v>
      </c>
      <c r="B24" s="56" t="s">
        <v>415</v>
      </c>
      <c r="C24" s="56" t="s">
        <v>416</v>
      </c>
      <c r="D24" s="56" t="s">
        <v>194</v>
      </c>
      <c r="E24" s="51"/>
      <c r="F24" s="75" t="s">
        <v>418</v>
      </c>
      <c r="G24" s="51" t="s">
        <v>416</v>
      </c>
      <c r="H24" s="302" t="s">
        <v>426</v>
      </c>
      <c r="I24" s="656">
        <v>95794858</v>
      </c>
      <c r="J24" s="137" t="s">
        <v>364</v>
      </c>
      <c r="K24" s="301">
        <v>1</v>
      </c>
      <c r="L24" s="41"/>
      <c r="M24" s="78">
        <f>666-90</f>
        <v>576</v>
      </c>
      <c r="N24" s="78">
        <f>1379-201</f>
        <v>1178</v>
      </c>
      <c r="O24" s="171">
        <f t="shared" si="0"/>
        <v>1754</v>
      </c>
      <c r="P24" s="41"/>
      <c r="Q24" s="78">
        <f>666-90</f>
        <v>576</v>
      </c>
      <c r="R24" s="78">
        <f>1379-201</f>
        <v>1178</v>
      </c>
      <c r="S24" s="171">
        <f t="shared" si="1"/>
        <v>1754</v>
      </c>
      <c r="T24" s="41"/>
      <c r="U24" s="79">
        <f t="shared" si="2"/>
        <v>1152</v>
      </c>
      <c r="V24" s="79">
        <f t="shared" si="3"/>
        <v>2356</v>
      </c>
      <c r="W24" s="171">
        <f t="shared" si="4"/>
        <v>3508</v>
      </c>
    </row>
    <row r="25" spans="1:23" ht="18">
      <c r="A25" s="234" t="s">
        <v>7</v>
      </c>
      <c r="B25" s="56" t="s">
        <v>415</v>
      </c>
      <c r="C25" s="56" t="s">
        <v>416</v>
      </c>
      <c r="D25" s="56" t="s">
        <v>89</v>
      </c>
      <c r="E25" s="51"/>
      <c r="F25" s="75" t="s">
        <v>418</v>
      </c>
      <c r="G25" s="51" t="s">
        <v>416</v>
      </c>
      <c r="H25" s="302" t="s">
        <v>424</v>
      </c>
      <c r="I25" s="656">
        <v>94882258</v>
      </c>
      <c r="J25" s="137" t="s">
        <v>364</v>
      </c>
      <c r="K25" s="301">
        <v>4.1</v>
      </c>
      <c r="L25" s="41"/>
      <c r="M25" s="78">
        <f>5607-650</f>
        <v>4957</v>
      </c>
      <c r="N25" s="78">
        <f>10526-1437</f>
        <v>9089</v>
      </c>
      <c r="O25" s="171">
        <f t="shared" si="0"/>
        <v>14046</v>
      </c>
      <c r="P25" s="41"/>
      <c r="Q25" s="78">
        <f>5607-650</f>
        <v>4957</v>
      </c>
      <c r="R25" s="78">
        <f>10526-1437</f>
        <v>9089</v>
      </c>
      <c r="S25" s="171">
        <f t="shared" si="1"/>
        <v>14046</v>
      </c>
      <c r="T25" s="41"/>
      <c r="U25" s="79">
        <f t="shared" si="2"/>
        <v>9914</v>
      </c>
      <c r="V25" s="79">
        <f t="shared" si="3"/>
        <v>18178</v>
      </c>
      <c r="W25" s="171">
        <f t="shared" si="4"/>
        <v>28092</v>
      </c>
    </row>
    <row r="26" spans="1:23" ht="18">
      <c r="A26" s="234" t="s">
        <v>7</v>
      </c>
      <c r="B26" s="56" t="s">
        <v>415</v>
      </c>
      <c r="C26" s="56" t="s">
        <v>416</v>
      </c>
      <c r="D26" s="56" t="s">
        <v>422</v>
      </c>
      <c r="E26" s="51"/>
      <c r="F26" s="75" t="s">
        <v>418</v>
      </c>
      <c r="G26" s="51" t="s">
        <v>416</v>
      </c>
      <c r="H26" s="302" t="s">
        <v>423</v>
      </c>
      <c r="I26" s="656">
        <v>94882259</v>
      </c>
      <c r="J26" s="137" t="s">
        <v>364</v>
      </c>
      <c r="K26" s="240">
        <v>4.1</v>
      </c>
      <c r="L26" s="41"/>
      <c r="M26" s="78">
        <f>4218-492</f>
        <v>3726</v>
      </c>
      <c r="N26" s="78">
        <f>8220-1023</f>
        <v>7197</v>
      </c>
      <c r="O26" s="171">
        <f t="shared" si="0"/>
        <v>10923</v>
      </c>
      <c r="P26" s="41"/>
      <c r="Q26" s="78">
        <f>4218-492</f>
        <v>3726</v>
      </c>
      <c r="R26" s="78">
        <f>8220-1023</f>
        <v>7197</v>
      </c>
      <c r="S26" s="171">
        <f t="shared" si="1"/>
        <v>10923</v>
      </c>
      <c r="T26" s="41"/>
      <c r="U26" s="79">
        <f t="shared" si="2"/>
        <v>7452</v>
      </c>
      <c r="V26" s="79">
        <f t="shared" si="3"/>
        <v>14394</v>
      </c>
      <c r="W26" s="171">
        <f t="shared" si="4"/>
        <v>21846</v>
      </c>
    </row>
    <row r="27" spans="1:23" ht="18">
      <c r="A27" s="234" t="s">
        <v>7</v>
      </c>
      <c r="B27" s="56" t="s">
        <v>415</v>
      </c>
      <c r="C27" s="56" t="s">
        <v>420</v>
      </c>
      <c r="D27" s="56"/>
      <c r="E27" s="51"/>
      <c r="F27" s="75" t="s">
        <v>418</v>
      </c>
      <c r="G27" s="51" t="s">
        <v>416</v>
      </c>
      <c r="H27" s="302" t="s">
        <v>421</v>
      </c>
      <c r="I27" s="656">
        <v>95794834</v>
      </c>
      <c r="J27" s="137" t="s">
        <v>364</v>
      </c>
      <c r="K27" s="240">
        <v>2.4</v>
      </c>
      <c r="L27" s="41"/>
      <c r="M27" s="78">
        <f>2183-268</f>
        <v>1915</v>
      </c>
      <c r="N27" s="78">
        <f>4450-618</f>
        <v>3832</v>
      </c>
      <c r="O27" s="171">
        <f t="shared" si="0"/>
        <v>5747</v>
      </c>
      <c r="P27" s="41"/>
      <c r="Q27" s="78">
        <f>2183-268</f>
        <v>1915</v>
      </c>
      <c r="R27" s="78">
        <f>4450-618</f>
        <v>3832</v>
      </c>
      <c r="S27" s="171">
        <f t="shared" si="1"/>
        <v>5747</v>
      </c>
      <c r="T27" s="41"/>
      <c r="U27" s="79">
        <f t="shared" si="2"/>
        <v>3830</v>
      </c>
      <c r="V27" s="79">
        <f t="shared" si="3"/>
        <v>7664</v>
      </c>
      <c r="W27" s="171">
        <f t="shared" si="4"/>
        <v>11494</v>
      </c>
    </row>
    <row r="28" spans="1:23" ht="18">
      <c r="A28" s="234" t="s">
        <v>7</v>
      </c>
      <c r="B28" s="56" t="s">
        <v>415</v>
      </c>
      <c r="C28" s="56" t="s">
        <v>416</v>
      </c>
      <c r="D28" s="56" t="s">
        <v>417</v>
      </c>
      <c r="E28" s="74"/>
      <c r="F28" s="75" t="s">
        <v>418</v>
      </c>
      <c r="G28" s="51" t="s">
        <v>416</v>
      </c>
      <c r="H28" s="302" t="s">
        <v>419</v>
      </c>
      <c r="I28" s="656">
        <v>95794859</v>
      </c>
      <c r="J28" s="137" t="s">
        <v>364</v>
      </c>
      <c r="K28" s="240">
        <v>4</v>
      </c>
      <c r="L28" s="41"/>
      <c r="M28" s="77">
        <f>4363-541</f>
        <v>3822</v>
      </c>
      <c r="N28" s="77">
        <f>8648-1182</f>
        <v>7466</v>
      </c>
      <c r="O28" s="171">
        <f t="shared" si="0"/>
        <v>11288</v>
      </c>
      <c r="P28" s="41"/>
      <c r="Q28" s="77">
        <f>4363-541</f>
        <v>3822</v>
      </c>
      <c r="R28" s="77">
        <f>8648-1182</f>
        <v>7466</v>
      </c>
      <c r="S28" s="171">
        <f t="shared" si="1"/>
        <v>11288</v>
      </c>
      <c r="T28" s="41"/>
      <c r="U28" s="79">
        <f t="shared" si="2"/>
        <v>7644</v>
      </c>
      <c r="V28" s="79">
        <f t="shared" si="3"/>
        <v>14932</v>
      </c>
      <c r="W28" s="171">
        <f t="shared" si="4"/>
        <v>22576</v>
      </c>
    </row>
    <row r="29" spans="1:23" ht="18">
      <c r="A29" s="234" t="s">
        <v>7</v>
      </c>
      <c r="B29" s="56" t="s">
        <v>415</v>
      </c>
      <c r="C29" s="56" t="s">
        <v>471</v>
      </c>
      <c r="D29" s="56"/>
      <c r="E29" s="51"/>
      <c r="F29" s="75" t="s">
        <v>418</v>
      </c>
      <c r="G29" s="51" t="s">
        <v>416</v>
      </c>
      <c r="H29" s="302" t="s">
        <v>472</v>
      </c>
      <c r="I29" s="656">
        <v>95794898</v>
      </c>
      <c r="J29" s="138" t="s">
        <v>364</v>
      </c>
      <c r="K29" s="301">
        <v>2.3</v>
      </c>
      <c r="L29" s="41"/>
      <c r="M29" s="78">
        <f>3428-490</f>
        <v>2938</v>
      </c>
      <c r="N29" s="78">
        <f>6826-1056</f>
        <v>5770</v>
      </c>
      <c r="O29" s="171">
        <f t="shared" si="0"/>
        <v>8708</v>
      </c>
      <c r="P29" s="41"/>
      <c r="Q29" s="78">
        <f>3428-490</f>
        <v>2938</v>
      </c>
      <c r="R29" s="78">
        <f>6826-1056</f>
        <v>5770</v>
      </c>
      <c r="S29" s="171">
        <f t="shared" si="1"/>
        <v>8708</v>
      </c>
      <c r="T29" s="41"/>
      <c r="U29" s="79">
        <f t="shared" si="2"/>
        <v>5876</v>
      </c>
      <c r="V29" s="79">
        <f t="shared" si="3"/>
        <v>11540</v>
      </c>
      <c r="W29" s="171">
        <f t="shared" si="4"/>
        <v>17416</v>
      </c>
    </row>
    <row r="30" spans="1:23" ht="18">
      <c r="A30" s="234" t="s">
        <v>7</v>
      </c>
      <c r="B30" s="56" t="s">
        <v>415</v>
      </c>
      <c r="C30" s="56" t="s">
        <v>451</v>
      </c>
      <c r="D30" s="56"/>
      <c r="E30" s="51"/>
      <c r="F30" s="75" t="s">
        <v>418</v>
      </c>
      <c r="G30" s="51" t="s">
        <v>416</v>
      </c>
      <c r="H30" s="302" t="s">
        <v>452</v>
      </c>
      <c r="I30" s="656">
        <v>95794843</v>
      </c>
      <c r="J30" s="138" t="s">
        <v>364</v>
      </c>
      <c r="K30" s="301">
        <v>1</v>
      </c>
      <c r="L30" s="41"/>
      <c r="M30" s="78">
        <f>1385-156</f>
        <v>1229</v>
      </c>
      <c r="N30" s="78">
        <f>2997-401</f>
        <v>2596</v>
      </c>
      <c r="O30" s="171">
        <f t="shared" si="0"/>
        <v>3825</v>
      </c>
      <c r="P30" s="41"/>
      <c r="Q30" s="78">
        <f>1385-156</f>
        <v>1229</v>
      </c>
      <c r="R30" s="78">
        <f>2997-401</f>
        <v>2596</v>
      </c>
      <c r="S30" s="171">
        <f t="shared" si="1"/>
        <v>3825</v>
      </c>
      <c r="T30" s="41"/>
      <c r="U30" s="79">
        <f t="shared" si="2"/>
        <v>2458</v>
      </c>
      <c r="V30" s="79">
        <f t="shared" si="3"/>
        <v>5192</v>
      </c>
      <c r="W30" s="171">
        <f t="shared" si="4"/>
        <v>7650</v>
      </c>
    </row>
    <row r="31" spans="1:23" ht="29.25">
      <c r="A31" s="234" t="s">
        <v>7</v>
      </c>
      <c r="B31" s="56" t="s">
        <v>415</v>
      </c>
      <c r="C31" s="56" t="s">
        <v>2066</v>
      </c>
      <c r="D31" s="56"/>
      <c r="E31" s="51"/>
      <c r="F31" s="75" t="s">
        <v>418</v>
      </c>
      <c r="G31" s="51" t="s">
        <v>416</v>
      </c>
      <c r="H31" s="302" t="s">
        <v>448</v>
      </c>
      <c r="I31" s="656">
        <v>95794747</v>
      </c>
      <c r="J31" s="138" t="s">
        <v>364</v>
      </c>
      <c r="K31" s="301">
        <v>4</v>
      </c>
      <c r="L31" s="41"/>
      <c r="M31" s="78">
        <f>2836-373</f>
        <v>2463</v>
      </c>
      <c r="N31" s="78">
        <f>5607-793</f>
        <v>4814</v>
      </c>
      <c r="O31" s="171">
        <f t="shared" si="0"/>
        <v>7277</v>
      </c>
      <c r="P31" s="41"/>
      <c r="Q31" s="78">
        <f>2836-373</f>
        <v>2463</v>
      </c>
      <c r="R31" s="78">
        <f>5607-793</f>
        <v>4814</v>
      </c>
      <c r="S31" s="171">
        <f t="shared" si="1"/>
        <v>7277</v>
      </c>
      <c r="T31" s="41"/>
      <c r="U31" s="79">
        <f t="shared" si="2"/>
        <v>4926</v>
      </c>
      <c r="V31" s="79">
        <f t="shared" si="3"/>
        <v>9628</v>
      </c>
      <c r="W31" s="171">
        <f t="shared" si="4"/>
        <v>14554</v>
      </c>
    </row>
    <row r="32" spans="1:23" ht="29.25">
      <c r="A32" s="234" t="s">
        <v>7</v>
      </c>
      <c r="B32" s="56" t="s">
        <v>415</v>
      </c>
      <c r="C32" s="56" t="s">
        <v>1654</v>
      </c>
      <c r="D32" s="56"/>
      <c r="E32" s="51"/>
      <c r="F32" s="75" t="s">
        <v>418</v>
      </c>
      <c r="G32" s="51" t="s">
        <v>416</v>
      </c>
      <c r="H32" s="302" t="s">
        <v>450</v>
      </c>
      <c r="I32" s="656">
        <v>95794790</v>
      </c>
      <c r="J32" s="138" t="s">
        <v>364</v>
      </c>
      <c r="K32" s="301">
        <v>2.2</v>
      </c>
      <c r="L32" s="41"/>
      <c r="M32" s="78">
        <f>4050-575</f>
        <v>3475</v>
      </c>
      <c r="N32" s="78">
        <f>7814-1171</f>
        <v>6643</v>
      </c>
      <c r="O32" s="171">
        <f t="shared" si="0"/>
        <v>10118</v>
      </c>
      <c r="P32" s="41"/>
      <c r="Q32" s="78">
        <f>4050-575</f>
        <v>3475</v>
      </c>
      <c r="R32" s="78">
        <f>7814-1171</f>
        <v>6643</v>
      </c>
      <c r="S32" s="171">
        <f t="shared" si="1"/>
        <v>10118</v>
      </c>
      <c r="T32" s="41"/>
      <c r="U32" s="79">
        <f t="shared" si="2"/>
        <v>6950</v>
      </c>
      <c r="V32" s="79">
        <f t="shared" si="3"/>
        <v>13286</v>
      </c>
      <c r="W32" s="171">
        <f t="shared" si="4"/>
        <v>20236</v>
      </c>
    </row>
    <row r="33" spans="1:23" ht="29.25">
      <c r="A33" s="234" t="s">
        <v>7</v>
      </c>
      <c r="B33" s="56" t="s">
        <v>415</v>
      </c>
      <c r="C33" s="56" t="s">
        <v>1654</v>
      </c>
      <c r="D33" s="56"/>
      <c r="E33" s="51"/>
      <c r="F33" s="75" t="s">
        <v>418</v>
      </c>
      <c r="G33" s="51" t="s">
        <v>416</v>
      </c>
      <c r="H33" s="302" t="s">
        <v>449</v>
      </c>
      <c r="I33" s="656">
        <v>95794803</v>
      </c>
      <c r="J33" s="138" t="s">
        <v>364</v>
      </c>
      <c r="K33" s="301">
        <v>1.7000000000000002</v>
      </c>
      <c r="L33" s="41"/>
      <c r="M33" s="78">
        <f>2714-362</f>
        <v>2352</v>
      </c>
      <c r="N33" s="78">
        <f>5480-760</f>
        <v>4720</v>
      </c>
      <c r="O33" s="171">
        <f t="shared" si="0"/>
        <v>7072</v>
      </c>
      <c r="P33" s="41"/>
      <c r="Q33" s="78">
        <f>2714-362</f>
        <v>2352</v>
      </c>
      <c r="R33" s="78">
        <f>5480-760</f>
        <v>4720</v>
      </c>
      <c r="S33" s="171">
        <f t="shared" si="1"/>
        <v>7072</v>
      </c>
      <c r="T33" s="41"/>
      <c r="U33" s="79">
        <f t="shared" si="2"/>
        <v>4704</v>
      </c>
      <c r="V33" s="79">
        <f t="shared" si="3"/>
        <v>9440</v>
      </c>
      <c r="W33" s="171">
        <f t="shared" si="4"/>
        <v>14144</v>
      </c>
    </row>
    <row r="34" spans="1:23" ht="29.25">
      <c r="A34" s="234" t="s">
        <v>7</v>
      </c>
      <c r="B34" s="56" t="s">
        <v>415</v>
      </c>
      <c r="C34" s="56" t="s">
        <v>1653</v>
      </c>
      <c r="D34" s="56"/>
      <c r="E34" s="51"/>
      <c r="F34" s="75" t="s">
        <v>418</v>
      </c>
      <c r="G34" s="51" t="s">
        <v>416</v>
      </c>
      <c r="H34" s="302" t="s">
        <v>447</v>
      </c>
      <c r="I34" s="656">
        <v>95794832</v>
      </c>
      <c r="J34" s="138" t="s">
        <v>364</v>
      </c>
      <c r="K34" s="301">
        <v>4</v>
      </c>
      <c r="L34" s="41"/>
      <c r="M34" s="78">
        <f>3259-404</f>
        <v>2855</v>
      </c>
      <c r="N34" s="78">
        <f>6917-966</f>
        <v>5951</v>
      </c>
      <c r="O34" s="171">
        <f t="shared" si="0"/>
        <v>8806</v>
      </c>
      <c r="P34" s="41"/>
      <c r="Q34" s="78">
        <f>3259-404</f>
        <v>2855</v>
      </c>
      <c r="R34" s="78">
        <f>6917-966</f>
        <v>5951</v>
      </c>
      <c r="S34" s="171">
        <f t="shared" si="1"/>
        <v>8806</v>
      </c>
      <c r="T34" s="41"/>
      <c r="U34" s="79">
        <f t="shared" si="2"/>
        <v>5710</v>
      </c>
      <c r="V34" s="79">
        <f t="shared" si="3"/>
        <v>11902</v>
      </c>
      <c r="W34" s="171">
        <f t="shared" si="4"/>
        <v>17612</v>
      </c>
    </row>
    <row r="35" spans="1:23" ht="29.25">
      <c r="A35" s="234" t="s">
        <v>7</v>
      </c>
      <c r="B35" s="56" t="s">
        <v>415</v>
      </c>
      <c r="C35" s="56" t="s">
        <v>1653</v>
      </c>
      <c r="D35" s="56"/>
      <c r="E35" s="51" t="s">
        <v>2161</v>
      </c>
      <c r="F35" s="75" t="s">
        <v>418</v>
      </c>
      <c r="G35" s="51" t="s">
        <v>416</v>
      </c>
      <c r="H35" s="302" t="s">
        <v>446</v>
      </c>
      <c r="I35" s="656">
        <v>95794837</v>
      </c>
      <c r="J35" s="138" t="s">
        <v>364</v>
      </c>
      <c r="K35" s="301">
        <v>3</v>
      </c>
      <c r="L35" s="41"/>
      <c r="M35" s="78">
        <f>1323-167</f>
        <v>1156</v>
      </c>
      <c r="N35" s="78">
        <f>2689-382</f>
        <v>2307</v>
      </c>
      <c r="O35" s="171">
        <f t="shared" si="0"/>
        <v>3463</v>
      </c>
      <c r="P35" s="41"/>
      <c r="Q35" s="78">
        <f>1323-167</f>
        <v>1156</v>
      </c>
      <c r="R35" s="78">
        <f>2689-382</f>
        <v>2307</v>
      </c>
      <c r="S35" s="171">
        <f t="shared" si="1"/>
        <v>3463</v>
      </c>
      <c r="T35" s="41"/>
      <c r="U35" s="79">
        <f t="shared" si="2"/>
        <v>2312</v>
      </c>
      <c r="V35" s="79">
        <f t="shared" si="3"/>
        <v>4614</v>
      </c>
      <c r="W35" s="171">
        <f t="shared" si="4"/>
        <v>6926</v>
      </c>
    </row>
    <row r="36" spans="1:23" ht="18">
      <c r="A36" s="234" t="s">
        <v>7</v>
      </c>
      <c r="B36" s="56" t="s">
        <v>415</v>
      </c>
      <c r="C36" s="56" t="s">
        <v>440</v>
      </c>
      <c r="D36" s="56" t="s">
        <v>112</v>
      </c>
      <c r="E36" s="51"/>
      <c r="F36" s="75" t="s">
        <v>418</v>
      </c>
      <c r="G36" s="51" t="s">
        <v>416</v>
      </c>
      <c r="H36" s="302" t="s">
        <v>442</v>
      </c>
      <c r="I36" s="656">
        <v>90032539</v>
      </c>
      <c r="J36" s="137" t="s">
        <v>364</v>
      </c>
      <c r="K36" s="301">
        <v>4</v>
      </c>
      <c r="L36" s="41"/>
      <c r="M36" s="78">
        <f>19403-16919</f>
        <v>2484</v>
      </c>
      <c r="N36" s="78">
        <f>77549-65671</f>
        <v>11878</v>
      </c>
      <c r="O36" s="171">
        <f t="shared" si="0"/>
        <v>14362</v>
      </c>
      <c r="P36" s="41"/>
      <c r="Q36" s="78">
        <f>19403-16919</f>
        <v>2484</v>
      </c>
      <c r="R36" s="78">
        <f>77549-65671</f>
        <v>11878</v>
      </c>
      <c r="S36" s="171">
        <f t="shared" si="1"/>
        <v>14362</v>
      </c>
      <c r="T36" s="41"/>
      <c r="U36" s="79">
        <f t="shared" si="2"/>
        <v>4968</v>
      </c>
      <c r="V36" s="79">
        <f t="shared" si="3"/>
        <v>23756</v>
      </c>
      <c r="W36" s="171">
        <f t="shared" si="4"/>
        <v>28724</v>
      </c>
    </row>
    <row r="37" spans="1:23" ht="18">
      <c r="A37" s="234" t="s">
        <v>7</v>
      </c>
      <c r="B37" s="56" t="s">
        <v>415</v>
      </c>
      <c r="C37" s="56" t="s">
        <v>440</v>
      </c>
      <c r="D37" s="56" t="s">
        <v>112</v>
      </c>
      <c r="E37" s="51"/>
      <c r="F37" s="75" t="s">
        <v>418</v>
      </c>
      <c r="G37" s="51" t="s">
        <v>416</v>
      </c>
      <c r="H37" s="302" t="s">
        <v>441</v>
      </c>
      <c r="I37" s="656">
        <v>94882264</v>
      </c>
      <c r="J37" s="137" t="s">
        <v>364</v>
      </c>
      <c r="K37" s="301">
        <v>5</v>
      </c>
      <c r="L37" s="41"/>
      <c r="M37" s="78">
        <f>5021-667</f>
        <v>4354</v>
      </c>
      <c r="N37" s="78">
        <f>10929-1563</f>
        <v>9366</v>
      </c>
      <c r="O37" s="171">
        <f t="shared" si="0"/>
        <v>13720</v>
      </c>
      <c r="P37" s="41"/>
      <c r="Q37" s="78">
        <f>5021-667</f>
        <v>4354</v>
      </c>
      <c r="R37" s="78">
        <f>10929-1563</f>
        <v>9366</v>
      </c>
      <c r="S37" s="171">
        <f t="shared" si="1"/>
        <v>13720</v>
      </c>
      <c r="T37" s="41"/>
      <c r="U37" s="79">
        <f t="shared" si="2"/>
        <v>8708</v>
      </c>
      <c r="V37" s="79">
        <f t="shared" si="3"/>
        <v>18732</v>
      </c>
      <c r="W37" s="171">
        <f t="shared" si="4"/>
        <v>27440</v>
      </c>
    </row>
    <row r="38" spans="1:23" ht="18">
      <c r="A38" s="234" t="s">
        <v>7</v>
      </c>
      <c r="B38" s="56" t="s">
        <v>415</v>
      </c>
      <c r="C38" s="56" t="s">
        <v>434</v>
      </c>
      <c r="D38" s="56"/>
      <c r="E38" s="51"/>
      <c r="F38" s="75" t="s">
        <v>418</v>
      </c>
      <c r="G38" s="51" t="s">
        <v>416</v>
      </c>
      <c r="H38" s="302" t="s">
        <v>435</v>
      </c>
      <c r="I38" s="656">
        <v>95794872</v>
      </c>
      <c r="J38" s="137" t="s">
        <v>364</v>
      </c>
      <c r="K38" s="301">
        <v>5</v>
      </c>
      <c r="L38" s="41"/>
      <c r="M38" s="78">
        <f>6640-876</f>
        <v>5764</v>
      </c>
      <c r="N38" s="78">
        <f>13660-2003</f>
        <v>11657</v>
      </c>
      <c r="O38" s="171">
        <f t="shared" si="0"/>
        <v>17421</v>
      </c>
      <c r="P38" s="41"/>
      <c r="Q38" s="78">
        <f>6640-876</f>
        <v>5764</v>
      </c>
      <c r="R38" s="78">
        <f>13660-2003</f>
        <v>11657</v>
      </c>
      <c r="S38" s="171">
        <f t="shared" si="1"/>
        <v>17421</v>
      </c>
      <c r="T38" s="41"/>
      <c r="U38" s="79">
        <f t="shared" si="2"/>
        <v>11528</v>
      </c>
      <c r="V38" s="79">
        <f t="shared" si="3"/>
        <v>23314</v>
      </c>
      <c r="W38" s="171">
        <f t="shared" si="4"/>
        <v>34842</v>
      </c>
    </row>
    <row r="39" spans="1:23" ht="18">
      <c r="A39" s="234" t="s">
        <v>7</v>
      </c>
      <c r="B39" s="56" t="s">
        <v>415</v>
      </c>
      <c r="C39" s="56" t="s">
        <v>436</v>
      </c>
      <c r="D39" s="56" t="s">
        <v>2160</v>
      </c>
      <c r="E39" s="51"/>
      <c r="F39" s="75" t="s">
        <v>418</v>
      </c>
      <c r="G39" s="51" t="s">
        <v>416</v>
      </c>
      <c r="H39" s="302" t="s">
        <v>437</v>
      </c>
      <c r="I39" s="656">
        <v>83246614</v>
      </c>
      <c r="J39" s="137" t="s">
        <v>364</v>
      </c>
      <c r="K39" s="301">
        <v>4</v>
      </c>
      <c r="L39" s="41"/>
      <c r="M39" s="78">
        <f>14716-11087</f>
        <v>3629</v>
      </c>
      <c r="N39" s="78">
        <f>46404-39269</f>
        <v>7135</v>
      </c>
      <c r="O39" s="171">
        <f t="shared" si="0"/>
        <v>10764</v>
      </c>
      <c r="P39" s="41"/>
      <c r="Q39" s="78">
        <f>14716-11087</f>
        <v>3629</v>
      </c>
      <c r="R39" s="78">
        <f>46404-39269</f>
        <v>7135</v>
      </c>
      <c r="S39" s="171">
        <f t="shared" si="1"/>
        <v>10764</v>
      </c>
      <c r="T39" s="41"/>
      <c r="U39" s="79">
        <f t="shared" si="2"/>
        <v>7258</v>
      </c>
      <c r="V39" s="79">
        <f t="shared" si="3"/>
        <v>14270</v>
      </c>
      <c r="W39" s="171">
        <f t="shared" si="4"/>
        <v>21528</v>
      </c>
    </row>
    <row r="40" spans="1:23" ht="18">
      <c r="A40" s="234" t="s">
        <v>7</v>
      </c>
      <c r="B40" s="56" t="s">
        <v>415</v>
      </c>
      <c r="C40" s="56" t="s">
        <v>416</v>
      </c>
      <c r="D40" s="56" t="s">
        <v>432</v>
      </c>
      <c r="E40" s="51"/>
      <c r="F40" s="75" t="s">
        <v>418</v>
      </c>
      <c r="G40" s="51" t="s">
        <v>416</v>
      </c>
      <c r="H40" s="302" t="s">
        <v>433</v>
      </c>
      <c r="I40" s="656">
        <v>94409313</v>
      </c>
      <c r="J40" s="137" t="s">
        <v>364</v>
      </c>
      <c r="K40" s="301">
        <v>2.5</v>
      </c>
      <c r="L40" s="41"/>
      <c r="M40" s="78">
        <f>3844-481</f>
        <v>3363</v>
      </c>
      <c r="N40" s="78">
        <f>8078-1144</f>
        <v>6934</v>
      </c>
      <c r="O40" s="171">
        <f t="shared" si="0"/>
        <v>10297</v>
      </c>
      <c r="P40" s="41"/>
      <c r="Q40" s="78">
        <f>3844-481</f>
        <v>3363</v>
      </c>
      <c r="R40" s="78">
        <f>8078-1144</f>
        <v>6934</v>
      </c>
      <c r="S40" s="171">
        <f t="shared" si="1"/>
        <v>10297</v>
      </c>
      <c r="T40" s="41"/>
      <c r="U40" s="79">
        <f t="shared" si="2"/>
        <v>6726</v>
      </c>
      <c r="V40" s="79">
        <f t="shared" si="3"/>
        <v>13868</v>
      </c>
      <c r="W40" s="171">
        <f t="shared" si="4"/>
        <v>20594</v>
      </c>
    </row>
    <row r="41" spans="1:23" ht="18">
      <c r="A41" s="234" t="s">
        <v>7</v>
      </c>
      <c r="B41" s="56" t="s">
        <v>415</v>
      </c>
      <c r="C41" s="56" t="s">
        <v>438</v>
      </c>
      <c r="D41" s="56"/>
      <c r="E41" s="51"/>
      <c r="F41" s="75" t="s">
        <v>418</v>
      </c>
      <c r="G41" s="51" t="s">
        <v>416</v>
      </c>
      <c r="H41" s="302" t="s">
        <v>439</v>
      </c>
      <c r="I41" s="656">
        <v>95794846</v>
      </c>
      <c r="J41" s="137" t="s">
        <v>364</v>
      </c>
      <c r="K41" s="301">
        <v>1</v>
      </c>
      <c r="L41" s="41"/>
      <c r="M41" s="78">
        <f>2172-257</f>
        <v>1915</v>
      </c>
      <c r="N41" s="78">
        <f>4495-588</f>
        <v>3907</v>
      </c>
      <c r="O41" s="171">
        <f t="shared" si="0"/>
        <v>5822</v>
      </c>
      <c r="P41" s="41"/>
      <c r="Q41" s="78">
        <f>2172-257</f>
        <v>1915</v>
      </c>
      <c r="R41" s="78">
        <f>4495-588</f>
        <v>3907</v>
      </c>
      <c r="S41" s="171">
        <f t="shared" si="1"/>
        <v>5822</v>
      </c>
      <c r="T41" s="41"/>
      <c r="U41" s="79">
        <f t="shared" si="2"/>
        <v>3830</v>
      </c>
      <c r="V41" s="79">
        <f t="shared" si="3"/>
        <v>7814</v>
      </c>
      <c r="W41" s="171">
        <f t="shared" si="4"/>
        <v>11644</v>
      </c>
    </row>
    <row r="42" spans="1:23" ht="18">
      <c r="A42" s="234" t="s">
        <v>7</v>
      </c>
      <c r="B42" s="56" t="s">
        <v>415</v>
      </c>
      <c r="C42" s="56" t="s">
        <v>440</v>
      </c>
      <c r="D42" s="56" t="s">
        <v>443</v>
      </c>
      <c r="E42" s="51"/>
      <c r="F42" s="75" t="s">
        <v>418</v>
      </c>
      <c r="G42" s="51" t="s">
        <v>416</v>
      </c>
      <c r="H42" s="302" t="s">
        <v>444</v>
      </c>
      <c r="I42" s="656">
        <v>95794878</v>
      </c>
      <c r="J42" s="137" t="s">
        <v>364</v>
      </c>
      <c r="K42" s="301">
        <v>1.3</v>
      </c>
      <c r="L42" s="41"/>
      <c r="M42" s="77">
        <f>2835-271</f>
        <v>2564</v>
      </c>
      <c r="N42" s="77">
        <f>6130-631</f>
        <v>5499</v>
      </c>
      <c r="O42" s="171">
        <f t="shared" si="0"/>
        <v>8063</v>
      </c>
      <c r="P42" s="41"/>
      <c r="Q42" s="77">
        <f>2835-271</f>
        <v>2564</v>
      </c>
      <c r="R42" s="77">
        <f>6130-631</f>
        <v>5499</v>
      </c>
      <c r="S42" s="171">
        <f t="shared" si="1"/>
        <v>8063</v>
      </c>
      <c r="T42" s="41"/>
      <c r="U42" s="79">
        <f t="shared" si="2"/>
        <v>5128</v>
      </c>
      <c r="V42" s="79">
        <f t="shared" si="3"/>
        <v>10998</v>
      </c>
      <c r="W42" s="171">
        <f t="shared" si="4"/>
        <v>16126</v>
      </c>
    </row>
    <row r="43" spans="1:23" ht="18">
      <c r="A43" s="234" t="s">
        <v>7</v>
      </c>
      <c r="B43" s="131" t="s">
        <v>415</v>
      </c>
      <c r="C43" s="56" t="s">
        <v>434</v>
      </c>
      <c r="D43" s="56" t="s">
        <v>164</v>
      </c>
      <c r="E43" s="51"/>
      <c r="F43" s="75" t="s">
        <v>418</v>
      </c>
      <c r="G43" s="51" t="s">
        <v>416</v>
      </c>
      <c r="H43" s="302" t="s">
        <v>499</v>
      </c>
      <c r="I43" s="656">
        <v>95794888</v>
      </c>
      <c r="J43" s="137" t="s">
        <v>364</v>
      </c>
      <c r="K43" s="301">
        <v>5</v>
      </c>
      <c r="L43" s="41"/>
      <c r="M43" s="79">
        <f>2382-252</f>
        <v>2130</v>
      </c>
      <c r="N43" s="77">
        <f>4160-511</f>
        <v>3649</v>
      </c>
      <c r="O43" s="171">
        <f t="shared" si="0"/>
        <v>5779</v>
      </c>
      <c r="P43" s="41"/>
      <c r="Q43" s="79">
        <f>2382-252</f>
        <v>2130</v>
      </c>
      <c r="R43" s="77">
        <f>4160-511</f>
        <v>3649</v>
      </c>
      <c r="S43" s="171">
        <f t="shared" si="1"/>
        <v>5779</v>
      </c>
      <c r="T43" s="41"/>
      <c r="U43" s="79">
        <f t="shared" si="2"/>
        <v>4260</v>
      </c>
      <c r="V43" s="79">
        <f t="shared" si="3"/>
        <v>7298</v>
      </c>
      <c r="W43" s="171">
        <f t="shared" si="4"/>
        <v>11558</v>
      </c>
    </row>
    <row r="44" spans="1:23" ht="29.25">
      <c r="A44" s="234" t="s">
        <v>7</v>
      </c>
      <c r="B44" s="56" t="s">
        <v>415</v>
      </c>
      <c r="C44" s="56" t="s">
        <v>1653</v>
      </c>
      <c r="D44" s="56"/>
      <c r="E44" s="51"/>
      <c r="F44" s="75" t="s">
        <v>418</v>
      </c>
      <c r="G44" s="51" t="s">
        <v>416</v>
      </c>
      <c r="H44" s="302" t="s">
        <v>445</v>
      </c>
      <c r="I44" s="656">
        <v>95794756</v>
      </c>
      <c r="J44" s="137" t="s">
        <v>364</v>
      </c>
      <c r="K44" s="301">
        <v>3</v>
      </c>
      <c r="L44" s="41"/>
      <c r="M44" s="78">
        <f>2167-251</f>
        <v>1916</v>
      </c>
      <c r="N44" s="78">
        <f>4264-571</f>
        <v>3693</v>
      </c>
      <c r="O44" s="171">
        <f t="shared" si="0"/>
        <v>5609</v>
      </c>
      <c r="P44" s="41"/>
      <c r="Q44" s="78">
        <f>2167-251</f>
        <v>1916</v>
      </c>
      <c r="R44" s="78">
        <f>4264-571</f>
        <v>3693</v>
      </c>
      <c r="S44" s="171">
        <f t="shared" si="1"/>
        <v>5609</v>
      </c>
      <c r="T44" s="41"/>
      <c r="U44" s="79">
        <f t="shared" si="2"/>
        <v>3832</v>
      </c>
      <c r="V44" s="79">
        <f t="shared" si="3"/>
        <v>7386</v>
      </c>
      <c r="W44" s="171">
        <f t="shared" si="4"/>
        <v>11218</v>
      </c>
    </row>
    <row r="45" spans="1:23" ht="18">
      <c r="A45" s="234" t="s">
        <v>7</v>
      </c>
      <c r="B45" s="56" t="s">
        <v>415</v>
      </c>
      <c r="C45" s="56" t="s">
        <v>438</v>
      </c>
      <c r="D45" s="56" t="s">
        <v>54</v>
      </c>
      <c r="E45" s="51" t="s">
        <v>2067</v>
      </c>
      <c r="F45" s="75" t="s">
        <v>418</v>
      </c>
      <c r="G45" s="51" t="s">
        <v>416</v>
      </c>
      <c r="H45" s="302" t="s">
        <v>468</v>
      </c>
      <c r="I45" s="656">
        <v>95794848</v>
      </c>
      <c r="J45" s="138" t="s">
        <v>364</v>
      </c>
      <c r="K45" s="301">
        <v>5</v>
      </c>
      <c r="L45" s="41"/>
      <c r="M45" s="78">
        <f>4894-676</f>
        <v>4218</v>
      </c>
      <c r="N45" s="78">
        <f>9330-1351</f>
        <v>7979</v>
      </c>
      <c r="O45" s="171">
        <f t="shared" si="0"/>
        <v>12197</v>
      </c>
      <c r="P45" s="41"/>
      <c r="Q45" s="78">
        <f>4894-676</f>
        <v>4218</v>
      </c>
      <c r="R45" s="78">
        <f>9330-1351</f>
        <v>7979</v>
      </c>
      <c r="S45" s="171">
        <f t="shared" si="1"/>
        <v>12197</v>
      </c>
      <c r="T45" s="41"/>
      <c r="U45" s="79">
        <f t="shared" si="2"/>
        <v>8436</v>
      </c>
      <c r="V45" s="79">
        <f t="shared" si="3"/>
        <v>15958</v>
      </c>
      <c r="W45" s="171">
        <f t="shared" si="4"/>
        <v>24394</v>
      </c>
    </row>
    <row r="46" spans="1:23" ht="18">
      <c r="A46" s="234" t="s">
        <v>7</v>
      </c>
      <c r="B46" s="56" t="s">
        <v>415</v>
      </c>
      <c r="C46" s="56" t="s">
        <v>456</v>
      </c>
      <c r="D46" s="56"/>
      <c r="E46" s="51"/>
      <c r="F46" s="75" t="s">
        <v>418</v>
      </c>
      <c r="G46" s="51" t="s">
        <v>416</v>
      </c>
      <c r="H46" s="302" t="s">
        <v>457</v>
      </c>
      <c r="I46" s="656">
        <v>95794813</v>
      </c>
      <c r="J46" s="138" t="s">
        <v>364</v>
      </c>
      <c r="K46" s="301">
        <v>0.1</v>
      </c>
      <c r="L46" s="41"/>
      <c r="M46" s="78">
        <f>140-19</f>
        <v>121</v>
      </c>
      <c r="N46" s="78">
        <f>279-41</f>
        <v>238</v>
      </c>
      <c r="O46" s="171">
        <f t="shared" si="0"/>
        <v>359</v>
      </c>
      <c r="P46" s="41"/>
      <c r="Q46" s="78">
        <f>140-19</f>
        <v>121</v>
      </c>
      <c r="R46" s="78">
        <f>279-41</f>
        <v>238</v>
      </c>
      <c r="S46" s="171">
        <f t="shared" si="1"/>
        <v>359</v>
      </c>
      <c r="T46" s="41"/>
      <c r="U46" s="79">
        <f t="shared" si="2"/>
        <v>242</v>
      </c>
      <c r="V46" s="79">
        <f t="shared" si="3"/>
        <v>476</v>
      </c>
      <c r="W46" s="171">
        <f t="shared" si="4"/>
        <v>718</v>
      </c>
    </row>
    <row r="47" spans="1:23" ht="18">
      <c r="A47" s="234" t="s">
        <v>7</v>
      </c>
      <c r="B47" s="56" t="s">
        <v>415</v>
      </c>
      <c r="C47" s="25" t="s">
        <v>416</v>
      </c>
      <c r="D47" s="56" t="s">
        <v>459</v>
      </c>
      <c r="E47" s="51" t="s">
        <v>2163</v>
      </c>
      <c r="F47" s="75" t="s">
        <v>418</v>
      </c>
      <c r="G47" s="51" t="s">
        <v>416</v>
      </c>
      <c r="H47" s="302" t="s">
        <v>464</v>
      </c>
      <c r="I47" s="656">
        <v>95794786</v>
      </c>
      <c r="J47" s="138" t="s">
        <v>364</v>
      </c>
      <c r="K47" s="301">
        <v>4</v>
      </c>
      <c r="L47" s="41"/>
      <c r="M47" s="78">
        <f>7247-850</f>
        <v>6397</v>
      </c>
      <c r="N47" s="78">
        <f>14220-1800</f>
        <v>12420</v>
      </c>
      <c r="O47" s="171">
        <f t="shared" si="0"/>
        <v>18817</v>
      </c>
      <c r="P47" s="41"/>
      <c r="Q47" s="78">
        <f>7247-850</f>
        <v>6397</v>
      </c>
      <c r="R47" s="78">
        <f>14220-1800</f>
        <v>12420</v>
      </c>
      <c r="S47" s="171">
        <f t="shared" si="1"/>
        <v>18817</v>
      </c>
      <c r="T47" s="41"/>
      <c r="U47" s="79">
        <f t="shared" si="2"/>
        <v>12794</v>
      </c>
      <c r="V47" s="79">
        <f t="shared" si="3"/>
        <v>24840</v>
      </c>
      <c r="W47" s="171">
        <f t="shared" si="4"/>
        <v>37634</v>
      </c>
    </row>
    <row r="48" spans="1:23" ht="29.25">
      <c r="A48" s="234" t="s">
        <v>7</v>
      </c>
      <c r="B48" s="56" t="s">
        <v>415</v>
      </c>
      <c r="C48" s="56" t="s">
        <v>438</v>
      </c>
      <c r="D48" s="56" t="s">
        <v>1278</v>
      </c>
      <c r="E48" s="51"/>
      <c r="F48" s="75" t="s">
        <v>418</v>
      </c>
      <c r="G48" s="51" t="s">
        <v>416</v>
      </c>
      <c r="H48" s="302" t="s">
        <v>467</v>
      </c>
      <c r="I48" s="656">
        <v>94807164</v>
      </c>
      <c r="J48" s="138" t="s">
        <v>364</v>
      </c>
      <c r="K48" s="301">
        <v>5</v>
      </c>
      <c r="L48" s="41"/>
      <c r="M48" s="78">
        <f>6334-752</f>
        <v>5582</v>
      </c>
      <c r="N48" s="78">
        <f>12857-1721</f>
        <v>11136</v>
      </c>
      <c r="O48" s="171">
        <f t="shared" si="0"/>
        <v>16718</v>
      </c>
      <c r="P48" s="41"/>
      <c r="Q48" s="78">
        <f>6334-752</f>
        <v>5582</v>
      </c>
      <c r="R48" s="78">
        <f>12857-1721</f>
        <v>11136</v>
      </c>
      <c r="S48" s="171">
        <f t="shared" si="1"/>
        <v>16718</v>
      </c>
      <c r="T48" s="41"/>
      <c r="U48" s="79">
        <f t="shared" si="2"/>
        <v>11164</v>
      </c>
      <c r="V48" s="79">
        <f t="shared" si="3"/>
        <v>22272</v>
      </c>
      <c r="W48" s="171">
        <f t="shared" si="4"/>
        <v>33436</v>
      </c>
    </row>
    <row r="49" spans="1:23" ht="18">
      <c r="A49" s="234" t="s">
        <v>7</v>
      </c>
      <c r="B49" s="56" t="s">
        <v>415</v>
      </c>
      <c r="C49" s="56" t="s">
        <v>462</v>
      </c>
      <c r="D49" s="56"/>
      <c r="E49" s="51"/>
      <c r="F49" s="75" t="s">
        <v>418</v>
      </c>
      <c r="G49" s="51" t="s">
        <v>416</v>
      </c>
      <c r="H49" s="302" t="s">
        <v>463</v>
      </c>
      <c r="I49" s="656">
        <v>94807175</v>
      </c>
      <c r="J49" s="138" t="s">
        <v>364</v>
      </c>
      <c r="K49" s="301">
        <v>3.9</v>
      </c>
      <c r="L49" s="41"/>
      <c r="M49" s="78">
        <f>5770-694</f>
        <v>5076</v>
      </c>
      <c r="N49" s="78">
        <f>11775-1564</f>
        <v>10211</v>
      </c>
      <c r="O49" s="171">
        <f t="shared" si="0"/>
        <v>15287</v>
      </c>
      <c r="P49" s="41"/>
      <c r="Q49" s="78">
        <f>5770-694</f>
        <v>5076</v>
      </c>
      <c r="R49" s="78">
        <f>11775-1564</f>
        <v>10211</v>
      </c>
      <c r="S49" s="171">
        <f t="shared" si="1"/>
        <v>15287</v>
      </c>
      <c r="T49" s="41"/>
      <c r="U49" s="79">
        <f t="shared" si="2"/>
        <v>10152</v>
      </c>
      <c r="V49" s="79">
        <f t="shared" si="3"/>
        <v>20422</v>
      </c>
      <c r="W49" s="171">
        <f t="shared" si="4"/>
        <v>30574</v>
      </c>
    </row>
    <row r="50" spans="1:23" ht="18">
      <c r="A50" s="234" t="s">
        <v>7</v>
      </c>
      <c r="B50" s="56" t="s">
        <v>415</v>
      </c>
      <c r="C50" s="56" t="s">
        <v>451</v>
      </c>
      <c r="D50" s="56"/>
      <c r="E50" s="51"/>
      <c r="F50" s="75" t="s">
        <v>418</v>
      </c>
      <c r="G50" s="51" t="s">
        <v>416</v>
      </c>
      <c r="H50" s="302" t="s">
        <v>453</v>
      </c>
      <c r="I50" s="656">
        <v>95794824</v>
      </c>
      <c r="J50" s="138" t="s">
        <v>364</v>
      </c>
      <c r="K50" s="301">
        <v>0.6000000000000001</v>
      </c>
      <c r="L50" s="41"/>
      <c r="M50" s="78">
        <f>1148-139</f>
        <v>1009</v>
      </c>
      <c r="N50" s="78">
        <f>2189-276</f>
        <v>1913</v>
      </c>
      <c r="O50" s="171">
        <f t="shared" si="0"/>
        <v>2922</v>
      </c>
      <c r="P50" s="41"/>
      <c r="Q50" s="78">
        <f>1148-139</f>
        <v>1009</v>
      </c>
      <c r="R50" s="78">
        <f>2189-276</f>
        <v>1913</v>
      </c>
      <c r="S50" s="171">
        <f t="shared" si="1"/>
        <v>2922</v>
      </c>
      <c r="T50" s="41"/>
      <c r="U50" s="79">
        <f t="shared" si="2"/>
        <v>2018</v>
      </c>
      <c r="V50" s="79">
        <f t="shared" si="3"/>
        <v>3826</v>
      </c>
      <c r="W50" s="171">
        <f t="shared" si="4"/>
        <v>5844</v>
      </c>
    </row>
    <row r="51" spans="1:23" ht="18">
      <c r="A51" s="234" t="s">
        <v>7</v>
      </c>
      <c r="B51" s="56" t="s">
        <v>415</v>
      </c>
      <c r="C51" s="56" t="s">
        <v>1658</v>
      </c>
      <c r="D51" s="56"/>
      <c r="E51" s="51"/>
      <c r="F51" s="75" t="s">
        <v>418</v>
      </c>
      <c r="G51" s="51" t="s">
        <v>416</v>
      </c>
      <c r="H51" s="302" t="s">
        <v>461</v>
      </c>
      <c r="I51" s="656">
        <v>95794835</v>
      </c>
      <c r="J51" s="138" t="s">
        <v>364</v>
      </c>
      <c r="K51" s="301">
        <v>0.6000000000000001</v>
      </c>
      <c r="L51" s="41"/>
      <c r="M51" s="78">
        <f>1028-128</f>
        <v>900</v>
      </c>
      <c r="N51" s="78">
        <f>2257-318</f>
        <v>1939</v>
      </c>
      <c r="O51" s="171">
        <f t="shared" si="0"/>
        <v>2839</v>
      </c>
      <c r="P51" s="41"/>
      <c r="Q51" s="78">
        <f>1028-128</f>
        <v>900</v>
      </c>
      <c r="R51" s="78">
        <f>2257-318</f>
        <v>1939</v>
      </c>
      <c r="S51" s="171">
        <f t="shared" si="1"/>
        <v>2839</v>
      </c>
      <c r="T51" s="41"/>
      <c r="U51" s="79">
        <f t="shared" si="2"/>
        <v>1800</v>
      </c>
      <c r="V51" s="79">
        <f t="shared" si="3"/>
        <v>3878</v>
      </c>
      <c r="W51" s="171">
        <f t="shared" si="4"/>
        <v>5678</v>
      </c>
    </row>
    <row r="52" spans="1:23" ht="18">
      <c r="A52" s="234" t="s">
        <v>7</v>
      </c>
      <c r="B52" s="56" t="s">
        <v>415</v>
      </c>
      <c r="C52" s="56" t="s">
        <v>438</v>
      </c>
      <c r="D52" s="56"/>
      <c r="E52" s="51"/>
      <c r="F52" s="75" t="s">
        <v>418</v>
      </c>
      <c r="G52" s="51" t="s">
        <v>416</v>
      </c>
      <c r="H52" s="302" t="s">
        <v>466</v>
      </c>
      <c r="I52" s="656">
        <v>95794869</v>
      </c>
      <c r="J52" s="138" t="s">
        <v>364</v>
      </c>
      <c r="K52" s="301">
        <v>3</v>
      </c>
      <c r="L52" s="41"/>
      <c r="M52" s="78">
        <f>3873-531</f>
        <v>3342</v>
      </c>
      <c r="N52" s="78">
        <f>9936-1477</f>
        <v>8459</v>
      </c>
      <c r="O52" s="171">
        <f t="shared" si="0"/>
        <v>11801</v>
      </c>
      <c r="P52" s="41"/>
      <c r="Q52" s="78">
        <f>3873-531</f>
        <v>3342</v>
      </c>
      <c r="R52" s="78">
        <f>9936-1477</f>
        <v>8459</v>
      </c>
      <c r="S52" s="171">
        <f t="shared" si="1"/>
        <v>11801</v>
      </c>
      <c r="T52" s="41"/>
      <c r="U52" s="79">
        <f t="shared" si="2"/>
        <v>6684</v>
      </c>
      <c r="V52" s="79">
        <f t="shared" si="3"/>
        <v>16918</v>
      </c>
      <c r="W52" s="171">
        <f t="shared" si="4"/>
        <v>23602</v>
      </c>
    </row>
    <row r="53" spans="1:23" ht="18">
      <c r="A53" s="234" t="s">
        <v>7</v>
      </c>
      <c r="B53" s="56" t="s">
        <v>415</v>
      </c>
      <c r="C53" s="56" t="s">
        <v>416</v>
      </c>
      <c r="D53" s="56" t="s">
        <v>459</v>
      </c>
      <c r="E53" s="51"/>
      <c r="F53" s="75" t="s">
        <v>418</v>
      </c>
      <c r="G53" s="51" t="s">
        <v>416</v>
      </c>
      <c r="H53" s="302" t="s">
        <v>460</v>
      </c>
      <c r="I53" s="656">
        <v>95794807</v>
      </c>
      <c r="J53" s="138" t="s">
        <v>364</v>
      </c>
      <c r="K53" s="301">
        <v>3</v>
      </c>
      <c r="L53" s="41"/>
      <c r="M53" s="78">
        <f>3580-433</f>
        <v>3147</v>
      </c>
      <c r="N53" s="78">
        <f>7424-1034</f>
        <v>6390</v>
      </c>
      <c r="O53" s="171">
        <f t="shared" si="0"/>
        <v>9537</v>
      </c>
      <c r="P53" s="41"/>
      <c r="Q53" s="78">
        <f>3580-433</f>
        <v>3147</v>
      </c>
      <c r="R53" s="78">
        <f>7424-1034</f>
        <v>6390</v>
      </c>
      <c r="S53" s="171">
        <f t="shared" si="1"/>
        <v>9537</v>
      </c>
      <c r="T53" s="41"/>
      <c r="U53" s="79">
        <f t="shared" si="2"/>
        <v>6294</v>
      </c>
      <c r="V53" s="79">
        <f t="shared" si="3"/>
        <v>12780</v>
      </c>
      <c r="W53" s="171">
        <f t="shared" si="4"/>
        <v>19074</v>
      </c>
    </row>
    <row r="54" spans="1:23" ht="18">
      <c r="A54" s="234" t="s">
        <v>7</v>
      </c>
      <c r="B54" s="56" t="s">
        <v>415</v>
      </c>
      <c r="C54" s="56" t="s">
        <v>456</v>
      </c>
      <c r="D54" s="56"/>
      <c r="E54" s="51"/>
      <c r="F54" s="75" t="s">
        <v>418</v>
      </c>
      <c r="G54" s="51" t="s">
        <v>416</v>
      </c>
      <c r="H54" s="302" t="s">
        <v>458</v>
      </c>
      <c r="I54" s="656">
        <v>95794877</v>
      </c>
      <c r="J54" s="138" t="s">
        <v>364</v>
      </c>
      <c r="K54" s="301">
        <v>0.1</v>
      </c>
      <c r="L54" s="41"/>
      <c r="M54" s="78">
        <f>322-44</f>
        <v>278</v>
      </c>
      <c r="N54" s="78">
        <f>586-88</f>
        <v>498</v>
      </c>
      <c r="O54" s="171">
        <f t="shared" si="0"/>
        <v>776</v>
      </c>
      <c r="P54" s="41"/>
      <c r="Q54" s="78">
        <f>322-44</f>
        <v>278</v>
      </c>
      <c r="R54" s="78">
        <f>586-88</f>
        <v>498</v>
      </c>
      <c r="S54" s="171">
        <f t="shared" si="1"/>
        <v>776</v>
      </c>
      <c r="T54" s="41"/>
      <c r="U54" s="79">
        <f t="shared" si="2"/>
        <v>556</v>
      </c>
      <c r="V54" s="79">
        <f t="shared" si="3"/>
        <v>996</v>
      </c>
      <c r="W54" s="171">
        <f t="shared" si="4"/>
        <v>1552</v>
      </c>
    </row>
    <row r="55" spans="1:23" ht="18">
      <c r="A55" s="234" t="s">
        <v>7</v>
      </c>
      <c r="B55" s="56" t="s">
        <v>415</v>
      </c>
      <c r="C55" s="56" t="s">
        <v>451</v>
      </c>
      <c r="D55" s="56"/>
      <c r="E55" s="51"/>
      <c r="F55" s="75" t="s">
        <v>418</v>
      </c>
      <c r="G55" s="51" t="s">
        <v>416</v>
      </c>
      <c r="H55" s="302" t="s">
        <v>454</v>
      </c>
      <c r="I55" s="656">
        <v>95794844</v>
      </c>
      <c r="J55" s="138" t="s">
        <v>364</v>
      </c>
      <c r="K55" s="301">
        <v>0.8</v>
      </c>
      <c r="L55" s="41"/>
      <c r="M55" s="78">
        <f>1229-120</f>
        <v>1109</v>
      </c>
      <c r="N55" s="78">
        <f>2559-311</f>
        <v>2248</v>
      </c>
      <c r="O55" s="171">
        <f t="shared" si="0"/>
        <v>3357</v>
      </c>
      <c r="P55" s="41"/>
      <c r="Q55" s="78">
        <f>1229-120</f>
        <v>1109</v>
      </c>
      <c r="R55" s="78">
        <f>2559-311</f>
        <v>2248</v>
      </c>
      <c r="S55" s="171">
        <f t="shared" si="1"/>
        <v>3357</v>
      </c>
      <c r="T55" s="41"/>
      <c r="U55" s="79">
        <f t="shared" si="2"/>
        <v>2218</v>
      </c>
      <c r="V55" s="79">
        <f t="shared" si="3"/>
        <v>4496</v>
      </c>
      <c r="W55" s="171">
        <f t="shared" si="4"/>
        <v>6714</v>
      </c>
    </row>
    <row r="56" spans="1:23" ht="18">
      <c r="A56" s="234" t="s">
        <v>7</v>
      </c>
      <c r="B56" s="56" t="s">
        <v>415</v>
      </c>
      <c r="C56" s="56" t="s">
        <v>451</v>
      </c>
      <c r="D56" s="56" t="s">
        <v>306</v>
      </c>
      <c r="E56" s="51"/>
      <c r="F56" s="75" t="s">
        <v>418</v>
      </c>
      <c r="G56" s="51" t="s">
        <v>416</v>
      </c>
      <c r="H56" s="302" t="s">
        <v>455</v>
      </c>
      <c r="I56" s="656">
        <v>95794829</v>
      </c>
      <c r="J56" s="138" t="s">
        <v>364</v>
      </c>
      <c r="K56" s="301">
        <v>0.7</v>
      </c>
      <c r="L56" s="41"/>
      <c r="M56" s="77">
        <f>1258-150</f>
        <v>1108</v>
      </c>
      <c r="N56" s="77">
        <f>2974-428</f>
        <v>2546</v>
      </c>
      <c r="O56" s="171">
        <f t="shared" si="0"/>
        <v>3654</v>
      </c>
      <c r="P56" s="41"/>
      <c r="Q56" s="77">
        <f>1258-150</f>
        <v>1108</v>
      </c>
      <c r="R56" s="77">
        <f>2974-428</f>
        <v>2546</v>
      </c>
      <c r="S56" s="171">
        <f t="shared" si="1"/>
        <v>3654</v>
      </c>
      <c r="T56" s="41"/>
      <c r="U56" s="79">
        <f t="shared" si="2"/>
        <v>2216</v>
      </c>
      <c r="V56" s="79">
        <f t="shared" si="3"/>
        <v>5092</v>
      </c>
      <c r="W56" s="171">
        <f t="shared" si="4"/>
        <v>7308</v>
      </c>
    </row>
    <row r="57" spans="1:23" ht="18">
      <c r="A57" s="234" t="s">
        <v>7</v>
      </c>
      <c r="B57" s="56" t="s">
        <v>415</v>
      </c>
      <c r="C57" s="56" t="s">
        <v>438</v>
      </c>
      <c r="D57" s="56"/>
      <c r="E57" s="51"/>
      <c r="F57" s="75" t="s">
        <v>418</v>
      </c>
      <c r="G57" s="51" t="s">
        <v>416</v>
      </c>
      <c r="H57" s="302" t="s">
        <v>465</v>
      </c>
      <c r="I57" s="656">
        <v>95794863</v>
      </c>
      <c r="J57" s="138" t="s">
        <v>364</v>
      </c>
      <c r="K57" s="301">
        <v>1</v>
      </c>
      <c r="L57" s="41"/>
      <c r="M57" s="78">
        <f>869-120</f>
        <v>749</v>
      </c>
      <c r="N57" s="78">
        <f>1875-273</f>
        <v>1602</v>
      </c>
      <c r="O57" s="171">
        <f t="shared" si="0"/>
        <v>2351</v>
      </c>
      <c r="P57" s="41"/>
      <c r="Q57" s="78">
        <f>869-120</f>
        <v>749</v>
      </c>
      <c r="R57" s="78">
        <f>1875-273</f>
        <v>1602</v>
      </c>
      <c r="S57" s="171">
        <f t="shared" si="1"/>
        <v>2351</v>
      </c>
      <c r="T57" s="41"/>
      <c r="U57" s="79">
        <f t="shared" si="2"/>
        <v>1498</v>
      </c>
      <c r="V57" s="79">
        <f t="shared" si="3"/>
        <v>3204</v>
      </c>
      <c r="W57" s="171">
        <f t="shared" si="4"/>
        <v>4702</v>
      </c>
    </row>
    <row r="58" spans="1:23" ht="18">
      <c r="A58" s="234" t="s">
        <v>7</v>
      </c>
      <c r="B58" s="131" t="s">
        <v>415</v>
      </c>
      <c r="C58" s="56" t="s">
        <v>416</v>
      </c>
      <c r="D58" s="56" t="s">
        <v>417</v>
      </c>
      <c r="E58" s="51"/>
      <c r="F58" s="75" t="s">
        <v>418</v>
      </c>
      <c r="G58" s="51" t="s">
        <v>416</v>
      </c>
      <c r="H58" s="302" t="s">
        <v>500</v>
      </c>
      <c r="I58" s="656">
        <v>95794757</v>
      </c>
      <c r="J58" s="137" t="s">
        <v>364</v>
      </c>
      <c r="K58" s="240">
        <v>0.6</v>
      </c>
      <c r="L58" s="41"/>
      <c r="M58" s="77">
        <f>374-41</f>
        <v>333</v>
      </c>
      <c r="N58" s="77">
        <f>783-92</f>
        <v>691</v>
      </c>
      <c r="O58" s="171">
        <f t="shared" si="0"/>
        <v>1024</v>
      </c>
      <c r="P58" s="41"/>
      <c r="Q58" s="77">
        <f>374-41</f>
        <v>333</v>
      </c>
      <c r="R58" s="77">
        <f>783-92</f>
        <v>691</v>
      </c>
      <c r="S58" s="171">
        <f t="shared" si="1"/>
        <v>1024</v>
      </c>
      <c r="T58" s="41"/>
      <c r="U58" s="79">
        <f t="shared" si="2"/>
        <v>666</v>
      </c>
      <c r="V58" s="79">
        <f t="shared" si="3"/>
        <v>1382</v>
      </c>
      <c r="W58" s="171">
        <f t="shared" si="4"/>
        <v>2048</v>
      </c>
    </row>
    <row r="59" spans="1:23" ht="18">
      <c r="A59" s="234" t="s">
        <v>7</v>
      </c>
      <c r="B59" s="131" t="s">
        <v>415</v>
      </c>
      <c r="C59" s="56" t="s">
        <v>497</v>
      </c>
      <c r="D59" s="56"/>
      <c r="E59" s="51"/>
      <c r="F59" s="75" t="s">
        <v>418</v>
      </c>
      <c r="G59" s="51" t="s">
        <v>416</v>
      </c>
      <c r="H59" s="302" t="s">
        <v>498</v>
      </c>
      <c r="I59" s="656">
        <v>95794868</v>
      </c>
      <c r="J59" s="138" t="s">
        <v>364</v>
      </c>
      <c r="K59" s="301">
        <v>2</v>
      </c>
      <c r="L59" s="41"/>
      <c r="M59" s="79">
        <f>946-138</f>
        <v>808</v>
      </c>
      <c r="N59" s="77">
        <f>1610-242</f>
        <v>1368</v>
      </c>
      <c r="O59" s="171">
        <f t="shared" si="0"/>
        <v>2176</v>
      </c>
      <c r="P59" s="41"/>
      <c r="Q59" s="79">
        <f>946-138</f>
        <v>808</v>
      </c>
      <c r="R59" s="77">
        <f>1610-242</f>
        <v>1368</v>
      </c>
      <c r="S59" s="171">
        <f t="shared" si="1"/>
        <v>2176</v>
      </c>
      <c r="T59" s="41"/>
      <c r="U59" s="79">
        <f t="shared" si="2"/>
        <v>1616</v>
      </c>
      <c r="V59" s="79">
        <f t="shared" si="3"/>
        <v>2736</v>
      </c>
      <c r="W59" s="171">
        <f t="shared" si="4"/>
        <v>4352</v>
      </c>
    </row>
    <row r="60" spans="1:23" ht="18">
      <c r="A60" s="234" t="s">
        <v>7</v>
      </c>
      <c r="B60" s="131" t="s">
        <v>415</v>
      </c>
      <c r="C60" s="56" t="s">
        <v>416</v>
      </c>
      <c r="D60" s="56" t="s">
        <v>194</v>
      </c>
      <c r="E60" s="51"/>
      <c r="F60" s="75" t="s">
        <v>418</v>
      </c>
      <c r="G60" s="51" t="s">
        <v>416</v>
      </c>
      <c r="H60" s="302" t="s">
        <v>494</v>
      </c>
      <c r="I60" s="656">
        <v>95794874</v>
      </c>
      <c r="J60" s="138" t="s">
        <v>364</v>
      </c>
      <c r="K60" s="301">
        <v>2.2</v>
      </c>
      <c r="L60" s="41"/>
      <c r="M60" s="77">
        <f>941-130</f>
        <v>811</v>
      </c>
      <c r="N60" s="77">
        <f>2070-310</f>
        <v>1760</v>
      </c>
      <c r="O60" s="171">
        <f t="shared" si="0"/>
        <v>2571</v>
      </c>
      <c r="P60" s="41"/>
      <c r="Q60" s="77">
        <f>941-130</f>
        <v>811</v>
      </c>
      <c r="R60" s="77">
        <f>2070-310</f>
        <v>1760</v>
      </c>
      <c r="S60" s="171">
        <f t="shared" si="1"/>
        <v>2571</v>
      </c>
      <c r="T60" s="41"/>
      <c r="U60" s="79">
        <f t="shared" si="2"/>
        <v>1622</v>
      </c>
      <c r="V60" s="79">
        <f t="shared" si="3"/>
        <v>3520</v>
      </c>
      <c r="W60" s="171">
        <f t="shared" si="4"/>
        <v>5142</v>
      </c>
    </row>
    <row r="61" spans="1:23" ht="18">
      <c r="A61" s="234" t="s">
        <v>7</v>
      </c>
      <c r="B61" s="131" t="s">
        <v>415</v>
      </c>
      <c r="C61" s="56" t="s">
        <v>492</v>
      </c>
      <c r="D61" s="56"/>
      <c r="E61" s="51"/>
      <c r="F61" s="75" t="s">
        <v>418</v>
      </c>
      <c r="G61" s="51" t="s">
        <v>416</v>
      </c>
      <c r="H61" s="302" t="s">
        <v>493</v>
      </c>
      <c r="I61" s="656">
        <v>95794831</v>
      </c>
      <c r="J61" s="138" t="s">
        <v>364</v>
      </c>
      <c r="K61" s="301">
        <v>0.3</v>
      </c>
      <c r="L61" s="41"/>
      <c r="M61" s="79">
        <f>1152-102</f>
        <v>1050</v>
      </c>
      <c r="N61" s="77">
        <f>1968-188</f>
        <v>1780</v>
      </c>
      <c r="O61" s="171">
        <f t="shared" si="0"/>
        <v>2830</v>
      </c>
      <c r="P61" s="41"/>
      <c r="Q61" s="79">
        <f>1152-102</f>
        <v>1050</v>
      </c>
      <c r="R61" s="77">
        <f>1968-188</f>
        <v>1780</v>
      </c>
      <c r="S61" s="171">
        <f t="shared" si="1"/>
        <v>2830</v>
      </c>
      <c r="T61" s="41"/>
      <c r="U61" s="79">
        <f t="shared" si="2"/>
        <v>2100</v>
      </c>
      <c r="V61" s="79">
        <f t="shared" si="3"/>
        <v>3560</v>
      </c>
      <c r="W61" s="171">
        <f t="shared" si="4"/>
        <v>5660</v>
      </c>
    </row>
    <row r="62" spans="1:23" ht="18">
      <c r="A62" s="234" t="s">
        <v>7</v>
      </c>
      <c r="B62" s="56" t="s">
        <v>415</v>
      </c>
      <c r="C62" s="130" t="s">
        <v>456</v>
      </c>
      <c r="D62" s="56" t="s">
        <v>490</v>
      </c>
      <c r="E62" s="51"/>
      <c r="F62" s="75" t="s">
        <v>418</v>
      </c>
      <c r="G62" s="51" t="s">
        <v>416</v>
      </c>
      <c r="H62" s="302" t="s">
        <v>491</v>
      </c>
      <c r="I62" s="656">
        <v>95794865</v>
      </c>
      <c r="J62" s="138" t="s">
        <v>364</v>
      </c>
      <c r="K62" s="301">
        <v>2</v>
      </c>
      <c r="L62" s="41"/>
      <c r="M62" s="77">
        <f>1928-206</f>
        <v>1722</v>
      </c>
      <c r="N62" s="77">
        <f>3477-423</f>
        <v>3054</v>
      </c>
      <c r="O62" s="171">
        <f t="shared" si="0"/>
        <v>4776</v>
      </c>
      <c r="P62" s="41"/>
      <c r="Q62" s="77">
        <f>1928-206</f>
        <v>1722</v>
      </c>
      <c r="R62" s="77">
        <f>3477-423</f>
        <v>3054</v>
      </c>
      <c r="S62" s="171">
        <f t="shared" si="1"/>
        <v>4776</v>
      </c>
      <c r="T62" s="41"/>
      <c r="U62" s="79">
        <f t="shared" si="2"/>
        <v>3444</v>
      </c>
      <c r="V62" s="79">
        <f t="shared" si="3"/>
        <v>6108</v>
      </c>
      <c r="W62" s="171">
        <f t="shared" si="4"/>
        <v>9552</v>
      </c>
    </row>
    <row r="63" spans="1:23" ht="18">
      <c r="A63" s="234" t="s">
        <v>7</v>
      </c>
      <c r="B63" s="56" t="s">
        <v>415</v>
      </c>
      <c r="C63" s="130" t="s">
        <v>434</v>
      </c>
      <c r="D63" s="56"/>
      <c r="E63" s="51"/>
      <c r="F63" s="75" t="s">
        <v>418</v>
      </c>
      <c r="G63" s="51" t="s">
        <v>416</v>
      </c>
      <c r="H63" s="302" t="s">
        <v>489</v>
      </c>
      <c r="I63" s="656">
        <v>94807166</v>
      </c>
      <c r="J63" s="138" t="s">
        <v>364</v>
      </c>
      <c r="K63" s="301">
        <v>6.7</v>
      </c>
      <c r="L63" s="41"/>
      <c r="M63" s="78">
        <f>3454-408</f>
        <v>3046</v>
      </c>
      <c r="N63" s="78">
        <f>7591-972</f>
        <v>6619</v>
      </c>
      <c r="O63" s="171">
        <f t="shared" si="0"/>
        <v>9665</v>
      </c>
      <c r="P63" s="41"/>
      <c r="Q63" s="78">
        <f>3454-408</f>
        <v>3046</v>
      </c>
      <c r="R63" s="78">
        <f>7591-972</f>
        <v>6619</v>
      </c>
      <c r="S63" s="171">
        <f t="shared" si="1"/>
        <v>9665</v>
      </c>
      <c r="T63" s="41"/>
      <c r="U63" s="79">
        <f t="shared" si="2"/>
        <v>6092</v>
      </c>
      <c r="V63" s="79">
        <f t="shared" si="3"/>
        <v>13238</v>
      </c>
      <c r="W63" s="171">
        <f t="shared" si="4"/>
        <v>19330</v>
      </c>
    </row>
    <row r="64" spans="1:23" ht="29.25">
      <c r="A64" s="234" t="s">
        <v>7</v>
      </c>
      <c r="B64" s="56" t="s">
        <v>415</v>
      </c>
      <c r="C64" s="56" t="s">
        <v>416</v>
      </c>
      <c r="D64" s="56" t="s">
        <v>1650</v>
      </c>
      <c r="E64" s="51"/>
      <c r="F64" s="75" t="s">
        <v>418</v>
      </c>
      <c r="G64" s="51" t="s">
        <v>416</v>
      </c>
      <c r="H64" s="302" t="s">
        <v>488</v>
      </c>
      <c r="I64" s="656">
        <v>95794855</v>
      </c>
      <c r="J64" s="138" t="s">
        <v>364</v>
      </c>
      <c r="K64" s="301">
        <v>1.6</v>
      </c>
      <c r="L64" s="41"/>
      <c r="M64" s="78">
        <f>2556-350</f>
        <v>2206</v>
      </c>
      <c r="N64" s="78">
        <f>5538-767</f>
        <v>4771</v>
      </c>
      <c r="O64" s="171">
        <f t="shared" si="0"/>
        <v>6977</v>
      </c>
      <c r="P64" s="41"/>
      <c r="Q64" s="78">
        <f>2556-350</f>
        <v>2206</v>
      </c>
      <c r="R64" s="78">
        <f>5538-767</f>
        <v>4771</v>
      </c>
      <c r="S64" s="171">
        <f t="shared" si="1"/>
        <v>6977</v>
      </c>
      <c r="T64" s="41"/>
      <c r="U64" s="79">
        <f t="shared" si="2"/>
        <v>4412</v>
      </c>
      <c r="V64" s="79">
        <f t="shared" si="3"/>
        <v>9542</v>
      </c>
      <c r="W64" s="171">
        <f t="shared" si="4"/>
        <v>13954</v>
      </c>
    </row>
    <row r="65" spans="1:23" ht="29.25">
      <c r="A65" s="234" t="s">
        <v>7</v>
      </c>
      <c r="B65" s="56" t="s">
        <v>415</v>
      </c>
      <c r="C65" s="56" t="s">
        <v>416</v>
      </c>
      <c r="D65" s="56" t="s">
        <v>486</v>
      </c>
      <c r="E65" s="51"/>
      <c r="F65" s="75" t="s">
        <v>418</v>
      </c>
      <c r="G65" s="51" t="s">
        <v>416</v>
      </c>
      <c r="H65" s="302" t="s">
        <v>487</v>
      </c>
      <c r="I65" s="656">
        <v>95817806</v>
      </c>
      <c r="J65" s="138" t="s">
        <v>364</v>
      </c>
      <c r="K65" s="301">
        <v>1.4</v>
      </c>
      <c r="L65" s="41"/>
      <c r="M65" s="78">
        <f>5320-3881</f>
        <v>1439</v>
      </c>
      <c r="N65" s="78">
        <f>19182-13120</f>
        <v>6062</v>
      </c>
      <c r="O65" s="171">
        <f t="shared" si="0"/>
        <v>7501</v>
      </c>
      <c r="P65" s="41"/>
      <c r="Q65" s="78">
        <f>5320-3881</f>
        <v>1439</v>
      </c>
      <c r="R65" s="78">
        <f>19182-13120</f>
        <v>6062</v>
      </c>
      <c r="S65" s="171">
        <f t="shared" si="1"/>
        <v>7501</v>
      </c>
      <c r="T65" s="41"/>
      <c r="U65" s="79">
        <f t="shared" si="2"/>
        <v>2878</v>
      </c>
      <c r="V65" s="79">
        <f t="shared" si="3"/>
        <v>12124</v>
      </c>
      <c r="W65" s="171">
        <f t="shared" si="4"/>
        <v>15002</v>
      </c>
    </row>
    <row r="66" spans="1:23" ht="18">
      <c r="A66" s="234" t="s">
        <v>7</v>
      </c>
      <c r="B66" s="56" t="s">
        <v>415</v>
      </c>
      <c r="C66" s="56" t="s">
        <v>481</v>
      </c>
      <c r="D66" s="56"/>
      <c r="E66" s="51"/>
      <c r="F66" s="75" t="s">
        <v>418</v>
      </c>
      <c r="G66" s="51" t="s">
        <v>416</v>
      </c>
      <c r="H66" s="302" t="s">
        <v>485</v>
      </c>
      <c r="I66" s="656">
        <v>83698296</v>
      </c>
      <c r="J66" s="138" t="s">
        <v>364</v>
      </c>
      <c r="K66" s="301">
        <v>1.1</v>
      </c>
      <c r="L66" s="41"/>
      <c r="M66" s="78">
        <f>1144-402</f>
        <v>742</v>
      </c>
      <c r="N66" s="78">
        <f>3057-1542</f>
        <v>1515</v>
      </c>
      <c r="O66" s="171">
        <f t="shared" si="0"/>
        <v>2257</v>
      </c>
      <c r="P66" s="41"/>
      <c r="Q66" s="78">
        <f>1144-402</f>
        <v>742</v>
      </c>
      <c r="R66" s="78">
        <f>3057-1542</f>
        <v>1515</v>
      </c>
      <c r="S66" s="171">
        <f t="shared" si="1"/>
        <v>2257</v>
      </c>
      <c r="T66" s="41"/>
      <c r="U66" s="79">
        <f t="shared" si="2"/>
        <v>1484</v>
      </c>
      <c r="V66" s="79">
        <f t="shared" si="3"/>
        <v>3030</v>
      </c>
      <c r="W66" s="171">
        <f t="shared" si="4"/>
        <v>4514</v>
      </c>
    </row>
    <row r="67" spans="1:23" ht="18">
      <c r="A67" s="234" t="s">
        <v>7</v>
      </c>
      <c r="B67" s="56" t="s">
        <v>415</v>
      </c>
      <c r="C67" s="56" t="s">
        <v>481</v>
      </c>
      <c r="D67" s="56"/>
      <c r="E67" s="51"/>
      <c r="F67" s="75" t="s">
        <v>418</v>
      </c>
      <c r="G67" s="51" t="s">
        <v>416</v>
      </c>
      <c r="H67" s="302" t="s">
        <v>483</v>
      </c>
      <c r="I67" s="656">
        <v>95794882</v>
      </c>
      <c r="J67" s="138" t="s">
        <v>364</v>
      </c>
      <c r="K67" s="301">
        <v>1.1</v>
      </c>
      <c r="L67" s="41"/>
      <c r="M67" s="78">
        <f>2151-292</f>
        <v>1859</v>
      </c>
      <c r="N67" s="78">
        <f>4418-652</f>
        <v>3766</v>
      </c>
      <c r="O67" s="171">
        <f t="shared" si="0"/>
        <v>5625</v>
      </c>
      <c r="P67" s="41"/>
      <c r="Q67" s="78">
        <f>2151-292</f>
        <v>1859</v>
      </c>
      <c r="R67" s="78">
        <f>4418-652</f>
        <v>3766</v>
      </c>
      <c r="S67" s="171">
        <f t="shared" si="1"/>
        <v>5625</v>
      </c>
      <c r="T67" s="41"/>
      <c r="U67" s="79">
        <f t="shared" si="2"/>
        <v>3718</v>
      </c>
      <c r="V67" s="79">
        <f t="shared" si="3"/>
        <v>7532</v>
      </c>
      <c r="W67" s="171">
        <f t="shared" si="4"/>
        <v>11250</v>
      </c>
    </row>
    <row r="68" spans="1:23" ht="18">
      <c r="A68" s="234" t="s">
        <v>7</v>
      </c>
      <c r="B68" s="56" t="s">
        <v>415</v>
      </c>
      <c r="C68" s="56" t="s">
        <v>481</v>
      </c>
      <c r="D68" s="56"/>
      <c r="E68" s="51"/>
      <c r="F68" s="75" t="s">
        <v>418</v>
      </c>
      <c r="G68" s="51" t="s">
        <v>416</v>
      </c>
      <c r="H68" s="302" t="s">
        <v>482</v>
      </c>
      <c r="I68" s="656">
        <v>95794867</v>
      </c>
      <c r="J68" s="560" t="s">
        <v>364</v>
      </c>
      <c r="K68" s="301">
        <v>0.8</v>
      </c>
      <c r="L68" s="41"/>
      <c r="M68" s="78">
        <f>456-59</f>
        <v>397</v>
      </c>
      <c r="N68" s="78">
        <f>986-134</f>
        <v>852</v>
      </c>
      <c r="O68" s="171">
        <f t="shared" si="0"/>
        <v>1249</v>
      </c>
      <c r="P68" s="41"/>
      <c r="Q68" s="78">
        <f>456-59</f>
        <v>397</v>
      </c>
      <c r="R68" s="78">
        <f>986-134</f>
        <v>852</v>
      </c>
      <c r="S68" s="171">
        <f t="shared" si="1"/>
        <v>1249</v>
      </c>
      <c r="T68" s="41"/>
      <c r="U68" s="79">
        <f t="shared" si="2"/>
        <v>794</v>
      </c>
      <c r="V68" s="79">
        <f t="shared" si="3"/>
        <v>1704</v>
      </c>
      <c r="W68" s="171">
        <f t="shared" si="4"/>
        <v>2498</v>
      </c>
    </row>
    <row r="69" spans="1:23" ht="29.25">
      <c r="A69" s="234" t="s">
        <v>7</v>
      </c>
      <c r="B69" s="56" t="s">
        <v>415</v>
      </c>
      <c r="C69" s="56" t="s">
        <v>1653</v>
      </c>
      <c r="D69" s="56"/>
      <c r="E69" s="51"/>
      <c r="F69" s="75" t="s">
        <v>418</v>
      </c>
      <c r="G69" s="51" t="s">
        <v>416</v>
      </c>
      <c r="H69" s="302" t="s">
        <v>480</v>
      </c>
      <c r="I69" s="656">
        <v>95794762</v>
      </c>
      <c r="J69" s="138" t="s">
        <v>364</v>
      </c>
      <c r="K69" s="301">
        <v>1.1</v>
      </c>
      <c r="L69" s="41"/>
      <c r="M69" s="78">
        <f>1012-121</f>
        <v>891</v>
      </c>
      <c r="N69" s="78">
        <f>2033-270</f>
        <v>1763</v>
      </c>
      <c r="O69" s="171">
        <f t="shared" si="0"/>
        <v>2654</v>
      </c>
      <c r="P69" s="41"/>
      <c r="Q69" s="78">
        <f>1012-121</f>
        <v>891</v>
      </c>
      <c r="R69" s="78">
        <f>2033-270</f>
        <v>1763</v>
      </c>
      <c r="S69" s="171">
        <f t="shared" si="1"/>
        <v>2654</v>
      </c>
      <c r="T69" s="41"/>
      <c r="U69" s="79">
        <f t="shared" si="2"/>
        <v>1782</v>
      </c>
      <c r="V69" s="79">
        <f t="shared" si="3"/>
        <v>3526</v>
      </c>
      <c r="W69" s="171">
        <f t="shared" si="4"/>
        <v>5308</v>
      </c>
    </row>
    <row r="70" spans="1:23" ht="18">
      <c r="A70" s="234" t="s">
        <v>7</v>
      </c>
      <c r="B70" s="56" t="s">
        <v>415</v>
      </c>
      <c r="C70" s="56" t="s">
        <v>477</v>
      </c>
      <c r="D70" s="56"/>
      <c r="E70" s="51"/>
      <c r="F70" s="75" t="s">
        <v>418</v>
      </c>
      <c r="G70" s="51" t="s">
        <v>416</v>
      </c>
      <c r="H70" s="302" t="s">
        <v>479</v>
      </c>
      <c r="I70" s="656">
        <v>95794817</v>
      </c>
      <c r="J70" s="138" t="s">
        <v>364</v>
      </c>
      <c r="K70" s="301">
        <v>5</v>
      </c>
      <c r="L70" s="41"/>
      <c r="M70" s="78">
        <f>4521-546</f>
        <v>3975</v>
      </c>
      <c r="N70" s="78">
        <f>9103-1196</f>
        <v>7907</v>
      </c>
      <c r="O70" s="171">
        <f t="shared" si="0"/>
        <v>11882</v>
      </c>
      <c r="P70" s="41"/>
      <c r="Q70" s="78">
        <f>4521-546</f>
        <v>3975</v>
      </c>
      <c r="R70" s="78">
        <f>9103-1196</f>
        <v>7907</v>
      </c>
      <c r="S70" s="171">
        <f t="shared" si="1"/>
        <v>11882</v>
      </c>
      <c r="T70" s="41"/>
      <c r="U70" s="79">
        <f t="shared" si="2"/>
        <v>7950</v>
      </c>
      <c r="V70" s="79">
        <f t="shared" si="3"/>
        <v>15814</v>
      </c>
      <c r="W70" s="171">
        <f t="shared" si="4"/>
        <v>23764</v>
      </c>
    </row>
    <row r="71" spans="1:23" ht="18">
      <c r="A71" s="234" t="s">
        <v>7</v>
      </c>
      <c r="B71" s="56" t="s">
        <v>415</v>
      </c>
      <c r="C71" s="56" t="s">
        <v>477</v>
      </c>
      <c r="D71" s="56"/>
      <c r="E71" s="51"/>
      <c r="F71" s="75" t="s">
        <v>418</v>
      </c>
      <c r="G71" s="51" t="s">
        <v>416</v>
      </c>
      <c r="H71" s="302" t="s">
        <v>478</v>
      </c>
      <c r="I71" s="656">
        <v>95794814</v>
      </c>
      <c r="J71" s="138" t="s">
        <v>364</v>
      </c>
      <c r="K71" s="301">
        <v>0.5</v>
      </c>
      <c r="L71" s="41"/>
      <c r="M71" s="78">
        <f>660-55</f>
        <v>605</v>
      </c>
      <c r="N71" s="78">
        <f>1358-110</f>
        <v>1248</v>
      </c>
      <c r="O71" s="171">
        <f t="shared" si="0"/>
        <v>1853</v>
      </c>
      <c r="P71" s="41"/>
      <c r="Q71" s="78">
        <f>660-55</f>
        <v>605</v>
      </c>
      <c r="R71" s="78">
        <f>1358-110</f>
        <v>1248</v>
      </c>
      <c r="S71" s="171">
        <f t="shared" si="1"/>
        <v>1853</v>
      </c>
      <c r="T71" s="41"/>
      <c r="U71" s="79">
        <f t="shared" si="2"/>
        <v>1210</v>
      </c>
      <c r="V71" s="79">
        <f t="shared" si="3"/>
        <v>2496</v>
      </c>
      <c r="W71" s="171">
        <f t="shared" si="4"/>
        <v>3706</v>
      </c>
    </row>
    <row r="72" spans="1:23" ht="18">
      <c r="A72" s="234" t="s">
        <v>7</v>
      </c>
      <c r="B72" s="56" t="s">
        <v>415</v>
      </c>
      <c r="C72" s="56" t="s">
        <v>475</v>
      </c>
      <c r="D72" s="56"/>
      <c r="E72" s="51"/>
      <c r="F72" s="75" t="s">
        <v>418</v>
      </c>
      <c r="G72" s="51" t="s">
        <v>416</v>
      </c>
      <c r="H72" s="302" t="s">
        <v>476</v>
      </c>
      <c r="I72" s="656">
        <v>95794804</v>
      </c>
      <c r="J72" s="138" t="s">
        <v>364</v>
      </c>
      <c r="K72" s="301">
        <v>4</v>
      </c>
      <c r="L72" s="41"/>
      <c r="M72" s="78">
        <f>2544-278</f>
        <v>2266</v>
      </c>
      <c r="N72" s="78">
        <f>5305-637</f>
        <v>4668</v>
      </c>
      <c r="O72" s="171">
        <f t="shared" si="0"/>
        <v>6934</v>
      </c>
      <c r="P72" s="41"/>
      <c r="Q72" s="78">
        <f>2544-278</f>
        <v>2266</v>
      </c>
      <c r="R72" s="78">
        <f>5305-637</f>
        <v>4668</v>
      </c>
      <c r="S72" s="171">
        <f t="shared" si="1"/>
        <v>6934</v>
      </c>
      <c r="T72" s="41"/>
      <c r="U72" s="79">
        <f t="shared" si="2"/>
        <v>4532</v>
      </c>
      <c r="V72" s="79">
        <f t="shared" si="3"/>
        <v>9336</v>
      </c>
      <c r="W72" s="171">
        <f t="shared" si="4"/>
        <v>13868</v>
      </c>
    </row>
    <row r="73" spans="1:23" ht="18">
      <c r="A73" s="234" t="s">
        <v>7</v>
      </c>
      <c r="B73" s="56" t="s">
        <v>415</v>
      </c>
      <c r="C73" s="56" t="s">
        <v>1659</v>
      </c>
      <c r="D73" s="56"/>
      <c r="E73" s="51"/>
      <c r="F73" s="75" t="s">
        <v>418</v>
      </c>
      <c r="G73" s="51" t="s">
        <v>416</v>
      </c>
      <c r="H73" s="302" t="s">
        <v>474</v>
      </c>
      <c r="I73" s="656">
        <v>95794893</v>
      </c>
      <c r="J73" s="138" t="s">
        <v>364</v>
      </c>
      <c r="K73" s="301">
        <v>1.3</v>
      </c>
      <c r="L73" s="41"/>
      <c r="M73" s="78">
        <f>2200-284</f>
        <v>1916</v>
      </c>
      <c r="N73" s="78">
        <f>4363-643</f>
        <v>3720</v>
      </c>
      <c r="O73" s="171">
        <f t="shared" si="0"/>
        <v>5636</v>
      </c>
      <c r="P73" s="41"/>
      <c r="Q73" s="78">
        <f>2200-284</f>
        <v>1916</v>
      </c>
      <c r="R73" s="78">
        <f>4363-643</f>
        <v>3720</v>
      </c>
      <c r="S73" s="171">
        <f t="shared" si="1"/>
        <v>5636</v>
      </c>
      <c r="T73" s="41"/>
      <c r="U73" s="79">
        <f t="shared" si="2"/>
        <v>3832</v>
      </c>
      <c r="V73" s="79">
        <f t="shared" si="3"/>
        <v>7440</v>
      </c>
      <c r="W73" s="171">
        <f t="shared" si="4"/>
        <v>11272</v>
      </c>
    </row>
    <row r="74" spans="1:23" ht="18">
      <c r="A74" s="234" t="s">
        <v>7</v>
      </c>
      <c r="B74" s="56" t="s">
        <v>415</v>
      </c>
      <c r="C74" s="56" t="s">
        <v>471</v>
      </c>
      <c r="D74" s="56"/>
      <c r="E74" s="51"/>
      <c r="F74" s="75" t="s">
        <v>418</v>
      </c>
      <c r="G74" s="51" t="s">
        <v>416</v>
      </c>
      <c r="H74" s="302" t="s">
        <v>473</v>
      </c>
      <c r="I74" s="656">
        <v>95794876</v>
      </c>
      <c r="J74" s="138" t="s">
        <v>364</v>
      </c>
      <c r="K74" s="301">
        <v>3</v>
      </c>
      <c r="L74" s="41"/>
      <c r="M74" s="78">
        <f>2648-360</f>
        <v>2288</v>
      </c>
      <c r="N74" s="78">
        <f>5871-895</f>
        <v>4976</v>
      </c>
      <c r="O74" s="171">
        <f t="shared" si="0"/>
        <v>7264</v>
      </c>
      <c r="P74" s="41"/>
      <c r="Q74" s="78">
        <f>2648-360</f>
        <v>2288</v>
      </c>
      <c r="R74" s="78">
        <f>5871-895</f>
        <v>4976</v>
      </c>
      <c r="S74" s="171">
        <f t="shared" si="1"/>
        <v>7264</v>
      </c>
      <c r="T74" s="41"/>
      <c r="U74" s="79">
        <f t="shared" si="2"/>
        <v>4576</v>
      </c>
      <c r="V74" s="79">
        <f t="shared" si="3"/>
        <v>9952</v>
      </c>
      <c r="W74" s="171">
        <f t="shared" si="4"/>
        <v>14528</v>
      </c>
    </row>
    <row r="75" spans="1:23" ht="18">
      <c r="A75" s="234" t="s">
        <v>7</v>
      </c>
      <c r="B75" s="131" t="s">
        <v>415</v>
      </c>
      <c r="C75" s="56" t="s">
        <v>416</v>
      </c>
      <c r="D75" s="56" t="s">
        <v>511</v>
      </c>
      <c r="E75" s="51"/>
      <c r="F75" s="75" t="s">
        <v>418</v>
      </c>
      <c r="G75" s="51" t="s">
        <v>416</v>
      </c>
      <c r="H75" s="302" t="s">
        <v>512</v>
      </c>
      <c r="I75" s="656">
        <v>95794871</v>
      </c>
      <c r="J75" s="138" t="s">
        <v>364</v>
      </c>
      <c r="K75" s="240">
        <v>0.3</v>
      </c>
      <c r="L75" s="41"/>
      <c r="M75" s="77">
        <f>901-140</f>
        <v>761</v>
      </c>
      <c r="N75" s="77">
        <f>1828-266</f>
        <v>1562</v>
      </c>
      <c r="O75" s="171">
        <f t="shared" si="0"/>
        <v>2323</v>
      </c>
      <c r="P75" s="41"/>
      <c r="Q75" s="77">
        <f>901-140</f>
        <v>761</v>
      </c>
      <c r="R75" s="77">
        <f>1828-266</f>
        <v>1562</v>
      </c>
      <c r="S75" s="171">
        <f t="shared" si="1"/>
        <v>2323</v>
      </c>
      <c r="T75" s="41"/>
      <c r="U75" s="79">
        <f t="shared" si="2"/>
        <v>1522</v>
      </c>
      <c r="V75" s="79">
        <f t="shared" si="3"/>
        <v>3124</v>
      </c>
      <c r="W75" s="171">
        <f t="shared" si="4"/>
        <v>4646</v>
      </c>
    </row>
    <row r="76" spans="1:23" ht="18">
      <c r="A76" s="234" t="s">
        <v>7</v>
      </c>
      <c r="B76" s="131" t="s">
        <v>415</v>
      </c>
      <c r="C76" s="56" t="s">
        <v>462</v>
      </c>
      <c r="D76" s="56" t="s">
        <v>39</v>
      </c>
      <c r="E76" s="51"/>
      <c r="F76" s="75" t="s">
        <v>418</v>
      </c>
      <c r="G76" s="51" t="s">
        <v>416</v>
      </c>
      <c r="H76" s="302" t="s">
        <v>510</v>
      </c>
      <c r="I76" s="656">
        <v>83294388</v>
      </c>
      <c r="J76" s="138" t="s">
        <v>364</v>
      </c>
      <c r="K76" s="240">
        <v>1</v>
      </c>
      <c r="L76" s="41"/>
      <c r="M76" s="77">
        <f>1944-1511</f>
        <v>433</v>
      </c>
      <c r="N76" s="77">
        <f>4048-3119</f>
        <v>929</v>
      </c>
      <c r="O76" s="171">
        <f t="shared" si="0"/>
        <v>1362</v>
      </c>
      <c r="P76" s="41"/>
      <c r="Q76" s="77">
        <f>1944-1511</f>
        <v>433</v>
      </c>
      <c r="R76" s="77">
        <f>4048-3119</f>
        <v>929</v>
      </c>
      <c r="S76" s="171">
        <f t="shared" si="1"/>
        <v>1362</v>
      </c>
      <c r="T76" s="41"/>
      <c r="U76" s="79">
        <f t="shared" si="2"/>
        <v>866</v>
      </c>
      <c r="V76" s="79">
        <f t="shared" si="3"/>
        <v>1858</v>
      </c>
      <c r="W76" s="171">
        <f t="shared" si="4"/>
        <v>2724</v>
      </c>
    </row>
    <row r="77" spans="1:23" ht="18">
      <c r="A77" s="234" t="s">
        <v>7</v>
      </c>
      <c r="B77" s="131" t="s">
        <v>415</v>
      </c>
      <c r="C77" s="56" t="s">
        <v>416</v>
      </c>
      <c r="D77" s="56" t="s">
        <v>490</v>
      </c>
      <c r="E77" s="51"/>
      <c r="F77" s="75" t="s">
        <v>418</v>
      </c>
      <c r="G77" s="51" t="s">
        <v>416</v>
      </c>
      <c r="H77" s="302" t="s">
        <v>505</v>
      </c>
      <c r="I77" s="656">
        <v>95794772</v>
      </c>
      <c r="J77" s="137" t="s">
        <v>364</v>
      </c>
      <c r="K77" s="240">
        <v>1.3</v>
      </c>
      <c r="L77" s="41"/>
      <c r="M77" s="77">
        <f>2753-360</f>
        <v>2393</v>
      </c>
      <c r="N77" s="77">
        <f>5092-696</f>
        <v>4396</v>
      </c>
      <c r="O77" s="171">
        <f t="shared" si="0"/>
        <v>6789</v>
      </c>
      <c r="P77" s="41"/>
      <c r="Q77" s="77">
        <f>2753-360</f>
        <v>2393</v>
      </c>
      <c r="R77" s="77">
        <f>5092-696</f>
        <v>4396</v>
      </c>
      <c r="S77" s="171">
        <f t="shared" si="1"/>
        <v>6789</v>
      </c>
      <c r="T77" s="41"/>
      <c r="U77" s="79">
        <f t="shared" si="2"/>
        <v>4786</v>
      </c>
      <c r="V77" s="79">
        <f t="shared" si="3"/>
        <v>8792</v>
      </c>
      <c r="W77" s="171">
        <f t="shared" si="4"/>
        <v>13578</v>
      </c>
    </row>
    <row r="78" spans="1:23" ht="18">
      <c r="A78" s="234" t="s">
        <v>7</v>
      </c>
      <c r="B78" s="131" t="s">
        <v>415</v>
      </c>
      <c r="C78" s="56" t="s">
        <v>416</v>
      </c>
      <c r="D78" s="56" t="s">
        <v>1722</v>
      </c>
      <c r="E78" s="51"/>
      <c r="F78" s="75" t="s">
        <v>418</v>
      </c>
      <c r="G78" s="51" t="s">
        <v>416</v>
      </c>
      <c r="H78" s="302" t="s">
        <v>501</v>
      </c>
      <c r="I78" s="656">
        <v>95794806</v>
      </c>
      <c r="J78" s="137" t="s">
        <v>364</v>
      </c>
      <c r="K78" s="240">
        <v>4</v>
      </c>
      <c r="L78" s="41"/>
      <c r="M78" s="77">
        <f>2506-304</f>
        <v>2202</v>
      </c>
      <c r="N78" s="77">
        <f>5101-662</f>
        <v>4439</v>
      </c>
      <c r="O78" s="171">
        <f t="shared" si="0"/>
        <v>6641</v>
      </c>
      <c r="P78" s="41"/>
      <c r="Q78" s="77">
        <f>2506-304</f>
        <v>2202</v>
      </c>
      <c r="R78" s="77">
        <f>5101-662</f>
        <v>4439</v>
      </c>
      <c r="S78" s="171">
        <f t="shared" si="1"/>
        <v>6641</v>
      </c>
      <c r="T78" s="41"/>
      <c r="U78" s="79">
        <f t="shared" si="2"/>
        <v>4404</v>
      </c>
      <c r="V78" s="79">
        <f t="shared" si="3"/>
        <v>8878</v>
      </c>
      <c r="W78" s="171">
        <f t="shared" si="4"/>
        <v>13282</v>
      </c>
    </row>
    <row r="79" spans="1:23" ht="18">
      <c r="A79" s="234" t="s">
        <v>7</v>
      </c>
      <c r="B79" s="131" t="s">
        <v>415</v>
      </c>
      <c r="C79" s="56" t="s">
        <v>462</v>
      </c>
      <c r="D79" s="56" t="s">
        <v>506</v>
      </c>
      <c r="E79" s="51"/>
      <c r="F79" s="75" t="s">
        <v>418</v>
      </c>
      <c r="G79" s="51" t="s">
        <v>416</v>
      </c>
      <c r="H79" s="302" t="s">
        <v>507</v>
      </c>
      <c r="I79" s="656">
        <v>95794866</v>
      </c>
      <c r="J79" s="137" t="s">
        <v>364</v>
      </c>
      <c r="K79" s="240">
        <v>3</v>
      </c>
      <c r="L79" s="41"/>
      <c r="M79" s="77">
        <f>1477-192</f>
        <v>1285</v>
      </c>
      <c r="N79" s="77">
        <f>2679-402</f>
        <v>2277</v>
      </c>
      <c r="O79" s="171">
        <f t="shared" si="0"/>
        <v>3562</v>
      </c>
      <c r="P79" s="41"/>
      <c r="Q79" s="77">
        <f>1477-192</f>
        <v>1285</v>
      </c>
      <c r="R79" s="77">
        <f>2679-402</f>
        <v>2277</v>
      </c>
      <c r="S79" s="171">
        <f t="shared" si="1"/>
        <v>3562</v>
      </c>
      <c r="T79" s="41"/>
      <c r="U79" s="79">
        <f t="shared" si="2"/>
        <v>2570</v>
      </c>
      <c r="V79" s="79">
        <f t="shared" si="3"/>
        <v>4554</v>
      </c>
      <c r="W79" s="171">
        <f t="shared" si="4"/>
        <v>7124</v>
      </c>
    </row>
    <row r="80" spans="1:23" ht="18">
      <c r="A80" s="234" t="s">
        <v>7</v>
      </c>
      <c r="B80" s="131" t="s">
        <v>415</v>
      </c>
      <c r="C80" s="56" t="s">
        <v>462</v>
      </c>
      <c r="D80" s="56" t="s">
        <v>503</v>
      </c>
      <c r="E80" s="51"/>
      <c r="F80" s="75" t="s">
        <v>418</v>
      </c>
      <c r="G80" s="51" t="s">
        <v>416</v>
      </c>
      <c r="H80" s="302" t="s">
        <v>504</v>
      </c>
      <c r="I80" s="656">
        <v>95794870</v>
      </c>
      <c r="J80" s="137" t="s">
        <v>364</v>
      </c>
      <c r="K80" s="240">
        <v>0.5</v>
      </c>
      <c r="L80" s="41"/>
      <c r="M80" s="77">
        <f>441-66</f>
        <v>375</v>
      </c>
      <c r="N80" s="77">
        <f>952-151</f>
        <v>801</v>
      </c>
      <c r="O80" s="171">
        <f t="shared" si="0"/>
        <v>1176</v>
      </c>
      <c r="P80" s="41"/>
      <c r="Q80" s="77">
        <f>441-66</f>
        <v>375</v>
      </c>
      <c r="R80" s="77">
        <f>952-151</f>
        <v>801</v>
      </c>
      <c r="S80" s="171">
        <f t="shared" si="1"/>
        <v>1176</v>
      </c>
      <c r="T80" s="41"/>
      <c r="U80" s="79">
        <f t="shared" si="2"/>
        <v>750</v>
      </c>
      <c r="V80" s="79">
        <f t="shared" si="3"/>
        <v>1602</v>
      </c>
      <c r="W80" s="171">
        <f t="shared" si="4"/>
        <v>2352</v>
      </c>
    </row>
    <row r="81" spans="1:23" ht="18">
      <c r="A81" s="234" t="s">
        <v>7</v>
      </c>
      <c r="B81" s="131" t="s">
        <v>415</v>
      </c>
      <c r="C81" s="56" t="s">
        <v>462</v>
      </c>
      <c r="D81" s="56" t="s">
        <v>212</v>
      </c>
      <c r="E81" s="51" t="s">
        <v>2162</v>
      </c>
      <c r="F81" s="75" t="s">
        <v>418</v>
      </c>
      <c r="G81" s="51" t="s">
        <v>416</v>
      </c>
      <c r="H81" s="302" t="s">
        <v>502</v>
      </c>
      <c r="I81" s="656">
        <v>95794861</v>
      </c>
      <c r="J81" s="137" t="s">
        <v>364</v>
      </c>
      <c r="K81" s="240">
        <v>3</v>
      </c>
      <c r="L81" s="41"/>
      <c r="M81" s="77">
        <f>1513-207</f>
        <v>1306</v>
      </c>
      <c r="N81" s="77">
        <f>3114-460</f>
        <v>2654</v>
      </c>
      <c r="O81" s="171">
        <f t="shared" si="0"/>
        <v>3960</v>
      </c>
      <c r="P81" s="41"/>
      <c r="Q81" s="77">
        <f>1513-207</f>
        <v>1306</v>
      </c>
      <c r="R81" s="77">
        <f>3114-460</f>
        <v>2654</v>
      </c>
      <c r="S81" s="171">
        <f t="shared" si="1"/>
        <v>3960</v>
      </c>
      <c r="T81" s="41"/>
      <c r="U81" s="79">
        <f t="shared" si="2"/>
        <v>2612</v>
      </c>
      <c r="V81" s="79">
        <f t="shared" si="3"/>
        <v>5308</v>
      </c>
      <c r="W81" s="171">
        <f t="shared" si="4"/>
        <v>7920</v>
      </c>
    </row>
    <row r="82" spans="1:23" ht="18">
      <c r="A82" s="234" t="s">
        <v>7</v>
      </c>
      <c r="B82" s="131" t="s">
        <v>415</v>
      </c>
      <c r="C82" s="56" t="s">
        <v>416</v>
      </c>
      <c r="D82" s="56" t="s">
        <v>204</v>
      </c>
      <c r="E82" s="51" t="s">
        <v>1661</v>
      </c>
      <c r="F82" s="75" t="s">
        <v>418</v>
      </c>
      <c r="G82" s="51" t="s">
        <v>416</v>
      </c>
      <c r="H82" s="302" t="s">
        <v>509</v>
      </c>
      <c r="I82" s="656">
        <v>90100054</v>
      </c>
      <c r="J82" s="137" t="s">
        <v>364</v>
      </c>
      <c r="K82" s="240">
        <v>20</v>
      </c>
      <c r="L82" s="41"/>
      <c r="M82" s="77">
        <f>36139-9424</f>
        <v>26715</v>
      </c>
      <c r="N82" s="77">
        <f>48770-10637</f>
        <v>38133</v>
      </c>
      <c r="O82" s="171">
        <f t="shared" si="0"/>
        <v>64848</v>
      </c>
      <c r="P82" s="41"/>
      <c r="Q82" s="77">
        <f>36139-9424</f>
        <v>26715</v>
      </c>
      <c r="R82" s="77">
        <f>48770-10637</f>
        <v>38133</v>
      </c>
      <c r="S82" s="171">
        <f t="shared" si="1"/>
        <v>64848</v>
      </c>
      <c r="T82" s="41"/>
      <c r="U82" s="79">
        <f t="shared" si="2"/>
        <v>53430</v>
      </c>
      <c r="V82" s="79">
        <f t="shared" si="3"/>
        <v>76266</v>
      </c>
      <c r="W82" s="171">
        <f t="shared" si="4"/>
        <v>129696</v>
      </c>
    </row>
    <row r="83" spans="1:23" ht="18">
      <c r="A83" s="234" t="s">
        <v>7</v>
      </c>
      <c r="B83" s="131" t="s">
        <v>415</v>
      </c>
      <c r="C83" s="56" t="s">
        <v>416</v>
      </c>
      <c r="D83" s="56" t="s">
        <v>204</v>
      </c>
      <c r="E83" s="51" t="s">
        <v>1660</v>
      </c>
      <c r="F83" s="75" t="s">
        <v>418</v>
      </c>
      <c r="G83" s="51" t="s">
        <v>416</v>
      </c>
      <c r="H83" s="302" t="s">
        <v>508</v>
      </c>
      <c r="I83" s="656">
        <v>94807165</v>
      </c>
      <c r="J83" s="137" t="s">
        <v>364</v>
      </c>
      <c r="K83" s="240">
        <v>16</v>
      </c>
      <c r="L83" s="41"/>
      <c r="M83" s="77">
        <f>11277-1223</f>
        <v>10054</v>
      </c>
      <c r="N83" s="77">
        <f>25533-2637</f>
        <v>22896</v>
      </c>
      <c r="O83" s="171">
        <f aca="true" t="shared" si="5" ref="O83:O122">M83+N83</f>
        <v>32950</v>
      </c>
      <c r="P83" s="41"/>
      <c r="Q83" s="77">
        <f>11277-1223</f>
        <v>10054</v>
      </c>
      <c r="R83" s="77">
        <f>25533-2637</f>
        <v>22896</v>
      </c>
      <c r="S83" s="171">
        <f aca="true" t="shared" si="6" ref="S83:S122">Q83+R83</f>
        <v>32950</v>
      </c>
      <c r="T83" s="41"/>
      <c r="U83" s="79">
        <f aca="true" t="shared" si="7" ref="U83:U116">M83+Q83</f>
        <v>20108</v>
      </c>
      <c r="V83" s="79">
        <f aca="true" t="shared" si="8" ref="V83:V116">N83+R83</f>
        <v>45792</v>
      </c>
      <c r="W83" s="171">
        <f aca="true" t="shared" si="9" ref="W83:W122">U83+V83</f>
        <v>65900</v>
      </c>
    </row>
    <row r="84" spans="1:23" ht="18">
      <c r="A84" s="234" t="s">
        <v>7</v>
      </c>
      <c r="B84" s="158" t="s">
        <v>8</v>
      </c>
      <c r="C84" s="168" t="s">
        <v>416</v>
      </c>
      <c r="D84" s="158" t="s">
        <v>1419</v>
      </c>
      <c r="E84" s="57"/>
      <c r="F84" s="75" t="s">
        <v>418</v>
      </c>
      <c r="G84" s="51" t="s">
        <v>416</v>
      </c>
      <c r="H84" s="302" t="s">
        <v>1648</v>
      </c>
      <c r="I84" s="658">
        <v>1402871</v>
      </c>
      <c r="J84" s="137" t="s">
        <v>364</v>
      </c>
      <c r="K84" s="242">
        <v>2</v>
      </c>
      <c r="L84" s="170"/>
      <c r="M84" s="171">
        <f>2701-2311</f>
        <v>390</v>
      </c>
      <c r="N84" s="171">
        <f>5666-4889</f>
        <v>777</v>
      </c>
      <c r="O84" s="171">
        <f t="shared" si="5"/>
        <v>1167</v>
      </c>
      <c r="P84" s="170"/>
      <c r="Q84" s="171">
        <f>2701-2311</f>
        <v>390</v>
      </c>
      <c r="R84" s="171">
        <f>5666-4889</f>
        <v>777</v>
      </c>
      <c r="S84" s="171">
        <f t="shared" si="6"/>
        <v>1167</v>
      </c>
      <c r="T84" s="170"/>
      <c r="U84" s="79">
        <f t="shared" si="7"/>
        <v>780</v>
      </c>
      <c r="V84" s="79">
        <f t="shared" si="8"/>
        <v>1554</v>
      </c>
      <c r="W84" s="171">
        <f t="shared" si="9"/>
        <v>2334</v>
      </c>
    </row>
    <row r="85" spans="1:23" ht="18">
      <c r="A85" s="234" t="s">
        <v>7</v>
      </c>
      <c r="B85" s="158" t="s">
        <v>8</v>
      </c>
      <c r="C85" s="168" t="s">
        <v>440</v>
      </c>
      <c r="D85" s="158" t="s">
        <v>244</v>
      </c>
      <c r="E85" s="57"/>
      <c r="F85" s="75" t="s">
        <v>418</v>
      </c>
      <c r="G85" s="51" t="s">
        <v>416</v>
      </c>
      <c r="H85" s="302" t="s">
        <v>1652</v>
      </c>
      <c r="I85" s="658">
        <v>95794851</v>
      </c>
      <c r="J85" s="137" t="s">
        <v>364</v>
      </c>
      <c r="K85" s="242">
        <v>3</v>
      </c>
      <c r="L85" s="170"/>
      <c r="M85" s="171">
        <f>1412-198</f>
        <v>1214</v>
      </c>
      <c r="N85" s="171">
        <f>3118-458</f>
        <v>2660</v>
      </c>
      <c r="O85" s="171">
        <f t="shared" si="5"/>
        <v>3874</v>
      </c>
      <c r="P85" s="170"/>
      <c r="Q85" s="171">
        <f>1412-198</f>
        <v>1214</v>
      </c>
      <c r="R85" s="171">
        <f>3118-458</f>
        <v>2660</v>
      </c>
      <c r="S85" s="171">
        <f t="shared" si="6"/>
        <v>3874</v>
      </c>
      <c r="T85" s="170"/>
      <c r="U85" s="79">
        <f t="shared" si="7"/>
        <v>2428</v>
      </c>
      <c r="V85" s="79">
        <f t="shared" si="8"/>
        <v>5320</v>
      </c>
      <c r="W85" s="171">
        <f t="shared" si="9"/>
        <v>7748</v>
      </c>
    </row>
    <row r="86" spans="1:23" ht="29.25">
      <c r="A86" s="234" t="s">
        <v>7</v>
      </c>
      <c r="B86" s="158" t="s">
        <v>1054</v>
      </c>
      <c r="C86" s="168" t="s">
        <v>438</v>
      </c>
      <c r="D86" s="158" t="s">
        <v>89</v>
      </c>
      <c r="E86" s="169" t="s">
        <v>1056</v>
      </c>
      <c r="F86" s="160" t="s">
        <v>418</v>
      </c>
      <c r="G86" s="48" t="s">
        <v>416</v>
      </c>
      <c r="H86" s="302" t="s">
        <v>1649</v>
      </c>
      <c r="I86" s="657">
        <v>94807157</v>
      </c>
      <c r="J86" s="560" t="s">
        <v>364</v>
      </c>
      <c r="K86" s="241">
        <v>11</v>
      </c>
      <c r="L86" s="50"/>
      <c r="M86" s="49">
        <f>5357-1057</f>
        <v>4300</v>
      </c>
      <c r="N86" s="49">
        <f>443-65</f>
        <v>378</v>
      </c>
      <c r="O86" s="171">
        <f t="shared" si="5"/>
        <v>4678</v>
      </c>
      <c r="P86" s="50"/>
      <c r="Q86" s="49">
        <f>5357-1057</f>
        <v>4300</v>
      </c>
      <c r="R86" s="49">
        <f>443-65</f>
        <v>378</v>
      </c>
      <c r="S86" s="171">
        <f t="shared" si="6"/>
        <v>4678</v>
      </c>
      <c r="T86" s="50"/>
      <c r="U86" s="79">
        <f t="shared" si="7"/>
        <v>8600</v>
      </c>
      <c r="V86" s="79">
        <f t="shared" si="8"/>
        <v>756</v>
      </c>
      <c r="W86" s="171">
        <f t="shared" si="9"/>
        <v>9356</v>
      </c>
    </row>
    <row r="87" spans="1:23" ht="18">
      <c r="A87" s="234" t="s">
        <v>7</v>
      </c>
      <c r="B87" s="158" t="s">
        <v>8</v>
      </c>
      <c r="C87" s="168" t="s">
        <v>434</v>
      </c>
      <c r="D87" s="158" t="s">
        <v>373</v>
      </c>
      <c r="E87" s="57"/>
      <c r="F87" s="75" t="s">
        <v>418</v>
      </c>
      <c r="G87" s="51" t="s">
        <v>416</v>
      </c>
      <c r="H87" s="302" t="s">
        <v>1657</v>
      </c>
      <c r="I87" s="658">
        <v>95794860</v>
      </c>
      <c r="J87" s="163" t="s">
        <v>364</v>
      </c>
      <c r="K87" s="242">
        <v>4</v>
      </c>
      <c r="L87" s="170"/>
      <c r="M87" s="171">
        <f>1328-180</f>
        <v>1148</v>
      </c>
      <c r="N87" s="171">
        <f>2782-415</f>
        <v>2367</v>
      </c>
      <c r="O87" s="171">
        <f t="shared" si="5"/>
        <v>3515</v>
      </c>
      <c r="P87" s="170"/>
      <c r="Q87" s="171">
        <f>1328-180</f>
        <v>1148</v>
      </c>
      <c r="R87" s="171">
        <f>2782-415</f>
        <v>2367</v>
      </c>
      <c r="S87" s="171">
        <f t="shared" si="6"/>
        <v>3515</v>
      </c>
      <c r="T87" s="170"/>
      <c r="U87" s="79">
        <f t="shared" si="7"/>
        <v>2296</v>
      </c>
      <c r="V87" s="79">
        <f t="shared" si="8"/>
        <v>4734</v>
      </c>
      <c r="W87" s="171">
        <f t="shared" si="9"/>
        <v>7030</v>
      </c>
    </row>
    <row r="88" spans="1:23" ht="29.25">
      <c r="A88" s="234" t="s">
        <v>7</v>
      </c>
      <c r="B88" s="158" t="s">
        <v>8</v>
      </c>
      <c r="C88" s="168" t="s">
        <v>451</v>
      </c>
      <c r="D88" s="158" t="s">
        <v>1727</v>
      </c>
      <c r="E88" s="57"/>
      <c r="F88" s="75" t="s">
        <v>418</v>
      </c>
      <c r="G88" s="51" t="s">
        <v>416</v>
      </c>
      <c r="H88" s="302" t="s">
        <v>1655</v>
      </c>
      <c r="I88" s="658">
        <v>95794822</v>
      </c>
      <c r="J88" s="163" t="s">
        <v>364</v>
      </c>
      <c r="K88" s="242">
        <v>2</v>
      </c>
      <c r="L88" s="170"/>
      <c r="M88" s="171">
        <f>875-113</f>
        <v>762</v>
      </c>
      <c r="N88" s="171">
        <f>1803-250</f>
        <v>1553</v>
      </c>
      <c r="O88" s="171">
        <f t="shared" si="5"/>
        <v>2315</v>
      </c>
      <c r="P88" s="170"/>
      <c r="Q88" s="171">
        <f>875-113</f>
        <v>762</v>
      </c>
      <c r="R88" s="171">
        <f>1803-250</f>
        <v>1553</v>
      </c>
      <c r="S88" s="171">
        <f t="shared" si="6"/>
        <v>2315</v>
      </c>
      <c r="T88" s="170"/>
      <c r="U88" s="79">
        <f t="shared" si="7"/>
        <v>1524</v>
      </c>
      <c r="V88" s="79">
        <f t="shared" si="8"/>
        <v>3106</v>
      </c>
      <c r="W88" s="171">
        <f t="shared" si="9"/>
        <v>4630</v>
      </c>
    </row>
    <row r="89" spans="1:23" ht="18">
      <c r="A89" s="234" t="s">
        <v>7</v>
      </c>
      <c r="B89" s="158" t="s">
        <v>8</v>
      </c>
      <c r="C89" s="168" t="s">
        <v>416</v>
      </c>
      <c r="D89" s="158" t="s">
        <v>352</v>
      </c>
      <c r="E89" s="57"/>
      <c r="F89" s="75" t="s">
        <v>418</v>
      </c>
      <c r="G89" s="51" t="s">
        <v>416</v>
      </c>
      <c r="H89" s="302" t="s">
        <v>1651</v>
      </c>
      <c r="I89" s="658">
        <v>95794856</v>
      </c>
      <c r="J89" s="137" t="s">
        <v>364</v>
      </c>
      <c r="K89" s="242">
        <v>4</v>
      </c>
      <c r="L89" s="170"/>
      <c r="M89" s="171">
        <f>2553-353</f>
        <v>2200</v>
      </c>
      <c r="N89" s="171">
        <f>4882-740</f>
        <v>4142</v>
      </c>
      <c r="O89" s="171">
        <f t="shared" si="5"/>
        <v>6342</v>
      </c>
      <c r="P89" s="170"/>
      <c r="Q89" s="171">
        <f>2553-353</f>
        <v>2200</v>
      </c>
      <c r="R89" s="171">
        <f>4882-740</f>
        <v>4142</v>
      </c>
      <c r="S89" s="171">
        <f t="shared" si="6"/>
        <v>6342</v>
      </c>
      <c r="T89" s="170"/>
      <c r="U89" s="79">
        <f t="shared" si="7"/>
        <v>4400</v>
      </c>
      <c r="V89" s="79">
        <f t="shared" si="8"/>
        <v>8284</v>
      </c>
      <c r="W89" s="171">
        <f t="shared" si="9"/>
        <v>12684</v>
      </c>
    </row>
    <row r="90" spans="1:23" ht="18">
      <c r="A90" s="234" t="s">
        <v>7</v>
      </c>
      <c r="B90" s="158" t="s">
        <v>1282</v>
      </c>
      <c r="C90" s="238" t="s">
        <v>416</v>
      </c>
      <c r="D90" s="158" t="s">
        <v>352</v>
      </c>
      <c r="E90" s="175"/>
      <c r="F90" s="51" t="s">
        <v>418</v>
      </c>
      <c r="G90" s="51" t="s">
        <v>416</v>
      </c>
      <c r="H90" s="302" t="s">
        <v>1718</v>
      </c>
      <c r="I90" s="71">
        <v>92434113</v>
      </c>
      <c r="J90" s="138" t="s">
        <v>364</v>
      </c>
      <c r="K90" s="204">
        <v>1</v>
      </c>
      <c r="L90" s="41"/>
      <c r="M90" s="12">
        <f>2026-280</f>
        <v>1746</v>
      </c>
      <c r="N90" s="12">
        <f>3744-560</f>
        <v>3184</v>
      </c>
      <c r="O90" s="171">
        <f t="shared" si="5"/>
        <v>4930</v>
      </c>
      <c r="P90" s="41"/>
      <c r="Q90" s="12">
        <f>2026-280</f>
        <v>1746</v>
      </c>
      <c r="R90" s="12">
        <f>3744-560</f>
        <v>3184</v>
      </c>
      <c r="S90" s="171">
        <f t="shared" si="6"/>
        <v>4930</v>
      </c>
      <c r="T90" s="41"/>
      <c r="U90" s="79">
        <f t="shared" si="7"/>
        <v>3492</v>
      </c>
      <c r="V90" s="79">
        <f t="shared" si="8"/>
        <v>6368</v>
      </c>
      <c r="W90" s="171">
        <f t="shared" si="9"/>
        <v>9860</v>
      </c>
    </row>
    <row r="91" spans="1:23" ht="29.25">
      <c r="A91" s="234" t="s">
        <v>7</v>
      </c>
      <c r="B91" s="158" t="s">
        <v>1282</v>
      </c>
      <c r="C91" s="158" t="s">
        <v>1653</v>
      </c>
      <c r="D91" s="158" t="s">
        <v>1782</v>
      </c>
      <c r="E91" s="175"/>
      <c r="F91" s="51" t="s">
        <v>159</v>
      </c>
      <c r="G91" s="56" t="s">
        <v>158</v>
      </c>
      <c r="H91" s="302" t="s">
        <v>1726</v>
      </c>
      <c r="I91" s="71">
        <v>95794840</v>
      </c>
      <c r="J91" s="138" t="s">
        <v>364</v>
      </c>
      <c r="K91" s="204">
        <v>2</v>
      </c>
      <c r="L91" s="41"/>
      <c r="M91" s="12">
        <f>634-86</f>
        <v>548</v>
      </c>
      <c r="N91" s="12">
        <f>1185-172</f>
        <v>1013</v>
      </c>
      <c r="O91" s="171">
        <f t="shared" si="5"/>
        <v>1561</v>
      </c>
      <c r="P91" s="41"/>
      <c r="Q91" s="12">
        <f>634-86</f>
        <v>548</v>
      </c>
      <c r="R91" s="12">
        <f>1185-172</f>
        <v>1013</v>
      </c>
      <c r="S91" s="171">
        <f t="shared" si="6"/>
        <v>1561</v>
      </c>
      <c r="T91" s="41"/>
      <c r="U91" s="79">
        <f t="shared" si="7"/>
        <v>1096</v>
      </c>
      <c r="V91" s="79">
        <f t="shared" si="8"/>
        <v>2026</v>
      </c>
      <c r="W91" s="171">
        <f t="shared" si="9"/>
        <v>3122</v>
      </c>
    </row>
    <row r="92" spans="1:23" ht="18">
      <c r="A92" s="234" t="s">
        <v>7</v>
      </c>
      <c r="B92" s="158" t="s">
        <v>1282</v>
      </c>
      <c r="C92" s="238" t="s">
        <v>416</v>
      </c>
      <c r="D92" s="158" t="s">
        <v>194</v>
      </c>
      <c r="E92" s="175"/>
      <c r="F92" s="51" t="s">
        <v>418</v>
      </c>
      <c r="G92" s="51" t="s">
        <v>416</v>
      </c>
      <c r="H92" s="302" t="s">
        <v>1721</v>
      </c>
      <c r="I92" s="71">
        <v>95794873</v>
      </c>
      <c r="J92" s="138" t="s">
        <v>364</v>
      </c>
      <c r="K92" s="204">
        <v>5</v>
      </c>
      <c r="L92" s="41"/>
      <c r="M92" s="12">
        <f>5134-724</f>
        <v>4410</v>
      </c>
      <c r="N92" s="12">
        <f>10270-1596</f>
        <v>8674</v>
      </c>
      <c r="O92" s="171">
        <f t="shared" si="5"/>
        <v>13084</v>
      </c>
      <c r="P92" s="41"/>
      <c r="Q92" s="12">
        <f>5134-724</f>
        <v>4410</v>
      </c>
      <c r="R92" s="12">
        <f>10270-1596</f>
        <v>8674</v>
      </c>
      <c r="S92" s="171">
        <f t="shared" si="6"/>
        <v>13084</v>
      </c>
      <c r="T92" s="41"/>
      <c r="U92" s="79">
        <f t="shared" si="7"/>
        <v>8820</v>
      </c>
      <c r="V92" s="79">
        <f t="shared" si="8"/>
        <v>17348</v>
      </c>
      <c r="W92" s="171">
        <f t="shared" si="9"/>
        <v>26168</v>
      </c>
    </row>
    <row r="93" spans="1:23" ht="29.25">
      <c r="A93" s="233" t="s">
        <v>7</v>
      </c>
      <c r="B93" s="159" t="s">
        <v>1282</v>
      </c>
      <c r="C93" s="238" t="s">
        <v>416</v>
      </c>
      <c r="D93" s="158" t="s">
        <v>1719</v>
      </c>
      <c r="E93" s="175"/>
      <c r="F93" s="51" t="s">
        <v>418</v>
      </c>
      <c r="G93" s="51" t="s">
        <v>416</v>
      </c>
      <c r="H93" s="302" t="s">
        <v>1720</v>
      </c>
      <c r="I93" s="71">
        <v>92953549</v>
      </c>
      <c r="J93" s="138" t="s">
        <v>364</v>
      </c>
      <c r="K93" s="204">
        <v>3</v>
      </c>
      <c r="L93" s="41"/>
      <c r="M93" s="12">
        <f>2881-390</f>
        <v>2491</v>
      </c>
      <c r="N93" s="12">
        <f>5830-881</f>
        <v>4949</v>
      </c>
      <c r="O93" s="171">
        <f t="shared" si="5"/>
        <v>7440</v>
      </c>
      <c r="P93" s="41"/>
      <c r="Q93" s="12">
        <f>2881-390</f>
        <v>2491</v>
      </c>
      <c r="R93" s="12">
        <f>5830-881</f>
        <v>4949</v>
      </c>
      <c r="S93" s="171">
        <f t="shared" si="6"/>
        <v>7440</v>
      </c>
      <c r="T93" s="41"/>
      <c r="U93" s="79">
        <f t="shared" si="7"/>
        <v>4982</v>
      </c>
      <c r="V93" s="79">
        <f t="shared" si="8"/>
        <v>9898</v>
      </c>
      <c r="W93" s="171">
        <f t="shared" si="9"/>
        <v>14880</v>
      </c>
    </row>
    <row r="94" spans="1:23" ht="18">
      <c r="A94" s="233" t="s">
        <v>7</v>
      </c>
      <c r="B94" s="159" t="s">
        <v>1282</v>
      </c>
      <c r="C94" s="238" t="s">
        <v>1658</v>
      </c>
      <c r="D94" s="158" t="s">
        <v>1722</v>
      </c>
      <c r="E94" s="175"/>
      <c r="F94" s="51" t="s">
        <v>418</v>
      </c>
      <c r="G94" s="51" t="s">
        <v>416</v>
      </c>
      <c r="H94" s="302" t="s">
        <v>1723</v>
      </c>
      <c r="I94" s="71">
        <v>95794850</v>
      </c>
      <c r="J94" s="138" t="s">
        <v>364</v>
      </c>
      <c r="K94" s="204">
        <v>3</v>
      </c>
      <c r="L94" s="41"/>
      <c r="M94" s="12">
        <f>561-76</f>
        <v>485</v>
      </c>
      <c r="N94" s="12">
        <f>1179-175</f>
        <v>1004</v>
      </c>
      <c r="O94" s="171">
        <f t="shared" si="5"/>
        <v>1489</v>
      </c>
      <c r="P94" s="41"/>
      <c r="Q94" s="12">
        <f>561-76</f>
        <v>485</v>
      </c>
      <c r="R94" s="12">
        <f>1179-175</f>
        <v>1004</v>
      </c>
      <c r="S94" s="171">
        <f t="shared" si="6"/>
        <v>1489</v>
      </c>
      <c r="T94" s="41"/>
      <c r="U94" s="79">
        <f t="shared" si="7"/>
        <v>970</v>
      </c>
      <c r="V94" s="79">
        <f t="shared" si="8"/>
        <v>2008</v>
      </c>
      <c r="W94" s="171">
        <f t="shared" si="9"/>
        <v>2978</v>
      </c>
    </row>
    <row r="95" spans="1:23" ht="18">
      <c r="A95" s="233" t="s">
        <v>7</v>
      </c>
      <c r="B95" s="159" t="s">
        <v>1282</v>
      </c>
      <c r="C95" s="238" t="s">
        <v>420</v>
      </c>
      <c r="D95" s="158"/>
      <c r="E95" s="175"/>
      <c r="F95" s="51" t="s">
        <v>418</v>
      </c>
      <c r="G95" s="51" t="s">
        <v>416</v>
      </c>
      <c r="H95" s="304" t="s">
        <v>1724</v>
      </c>
      <c r="I95" s="71">
        <v>95794881</v>
      </c>
      <c r="J95" s="138" t="s">
        <v>364</v>
      </c>
      <c r="K95" s="204">
        <v>3</v>
      </c>
      <c r="L95" s="41"/>
      <c r="M95" s="12">
        <f>2878-393</f>
        <v>2485</v>
      </c>
      <c r="N95" s="12">
        <f>6069-888</f>
        <v>5181</v>
      </c>
      <c r="O95" s="171">
        <f t="shared" si="5"/>
        <v>7666</v>
      </c>
      <c r="P95" s="41"/>
      <c r="Q95" s="12">
        <f>2878-393</f>
        <v>2485</v>
      </c>
      <c r="R95" s="12">
        <f>6069-888</f>
        <v>5181</v>
      </c>
      <c r="S95" s="171">
        <f t="shared" si="6"/>
        <v>7666</v>
      </c>
      <c r="T95" s="41"/>
      <c r="U95" s="79">
        <f t="shared" si="7"/>
        <v>4970</v>
      </c>
      <c r="V95" s="79">
        <f t="shared" si="8"/>
        <v>10362</v>
      </c>
      <c r="W95" s="171">
        <f t="shared" si="9"/>
        <v>15332</v>
      </c>
    </row>
    <row r="96" spans="1:23" ht="18">
      <c r="A96" s="233" t="s">
        <v>7</v>
      </c>
      <c r="B96" s="159" t="s">
        <v>1282</v>
      </c>
      <c r="C96" s="238" t="s">
        <v>438</v>
      </c>
      <c r="D96" s="158" t="s">
        <v>54</v>
      </c>
      <c r="E96" s="57" t="s">
        <v>2065</v>
      </c>
      <c r="F96" s="51" t="s">
        <v>418</v>
      </c>
      <c r="G96" s="51" t="s">
        <v>416</v>
      </c>
      <c r="H96" s="302" t="s">
        <v>1725</v>
      </c>
      <c r="I96" s="71">
        <v>95794849</v>
      </c>
      <c r="J96" s="138" t="s">
        <v>364</v>
      </c>
      <c r="K96" s="204">
        <v>4</v>
      </c>
      <c r="L96" s="41"/>
      <c r="M96" s="12">
        <f>1594-217</f>
        <v>1377</v>
      </c>
      <c r="N96" s="12">
        <f>3358-493</f>
        <v>2865</v>
      </c>
      <c r="O96" s="171">
        <f t="shared" si="5"/>
        <v>4242</v>
      </c>
      <c r="P96" s="41"/>
      <c r="Q96" s="12">
        <f>1594-217</f>
        <v>1377</v>
      </c>
      <c r="R96" s="12">
        <f>3358-493</f>
        <v>2865</v>
      </c>
      <c r="S96" s="171">
        <f t="shared" si="6"/>
        <v>4242</v>
      </c>
      <c r="T96" s="41"/>
      <c r="U96" s="79">
        <f t="shared" si="7"/>
        <v>2754</v>
      </c>
      <c r="V96" s="79">
        <f t="shared" si="8"/>
        <v>5730</v>
      </c>
      <c r="W96" s="171">
        <f t="shared" si="9"/>
        <v>8484</v>
      </c>
    </row>
    <row r="97" spans="1:23" ht="18">
      <c r="A97" s="233" t="s">
        <v>7</v>
      </c>
      <c r="B97" s="320" t="s">
        <v>8</v>
      </c>
      <c r="C97" s="352" t="s">
        <v>416</v>
      </c>
      <c r="D97" s="352" t="s">
        <v>1784</v>
      </c>
      <c r="E97" s="352"/>
      <c r="F97" s="353" t="s">
        <v>418</v>
      </c>
      <c r="G97" s="353" t="s">
        <v>416</v>
      </c>
      <c r="H97" s="302" t="s">
        <v>1938</v>
      </c>
      <c r="I97" s="71">
        <v>95794815</v>
      </c>
      <c r="J97" s="138" t="s">
        <v>364</v>
      </c>
      <c r="K97" s="314">
        <v>3</v>
      </c>
      <c r="L97" s="41"/>
      <c r="M97" s="12">
        <f>2859-324</f>
        <v>2535</v>
      </c>
      <c r="N97" s="12">
        <f>5934-754</f>
        <v>5180</v>
      </c>
      <c r="O97" s="171">
        <f t="shared" si="5"/>
        <v>7715</v>
      </c>
      <c r="P97" s="41"/>
      <c r="Q97" s="12">
        <f>2859-324</f>
        <v>2535</v>
      </c>
      <c r="R97" s="12">
        <f>5934-754</f>
        <v>5180</v>
      </c>
      <c r="S97" s="171">
        <f t="shared" si="6"/>
        <v>7715</v>
      </c>
      <c r="T97" s="41"/>
      <c r="U97" s="79">
        <f t="shared" si="7"/>
        <v>5070</v>
      </c>
      <c r="V97" s="79">
        <f t="shared" si="8"/>
        <v>10360</v>
      </c>
      <c r="W97" s="171">
        <f t="shared" si="9"/>
        <v>15430</v>
      </c>
    </row>
    <row r="98" spans="1:23" ht="72">
      <c r="A98" s="233" t="s">
        <v>7</v>
      </c>
      <c r="B98" s="320" t="s">
        <v>8</v>
      </c>
      <c r="C98" s="352" t="s">
        <v>481</v>
      </c>
      <c r="D98" s="352" t="s">
        <v>54</v>
      </c>
      <c r="E98" s="352" t="s">
        <v>1785</v>
      </c>
      <c r="F98" s="353" t="s">
        <v>418</v>
      </c>
      <c r="G98" s="353" t="s">
        <v>416</v>
      </c>
      <c r="H98" s="302" t="s">
        <v>2068</v>
      </c>
      <c r="I98" s="71">
        <v>95794852</v>
      </c>
      <c r="J98" s="138" t="s">
        <v>364</v>
      </c>
      <c r="K98" s="314">
        <v>1</v>
      </c>
      <c r="L98" s="41"/>
      <c r="M98" s="12">
        <f>561-76</f>
        <v>485</v>
      </c>
      <c r="N98" s="12">
        <f>1185-176</f>
        <v>1009</v>
      </c>
      <c r="O98" s="171">
        <f t="shared" si="5"/>
        <v>1494</v>
      </c>
      <c r="P98" s="41"/>
      <c r="Q98" s="12">
        <f>561-76</f>
        <v>485</v>
      </c>
      <c r="R98" s="12">
        <f>1185-176</f>
        <v>1009</v>
      </c>
      <c r="S98" s="171">
        <f t="shared" si="6"/>
        <v>1494</v>
      </c>
      <c r="T98" s="41"/>
      <c r="U98" s="79">
        <f t="shared" si="7"/>
        <v>970</v>
      </c>
      <c r="V98" s="79">
        <f t="shared" si="8"/>
        <v>2018</v>
      </c>
      <c r="W98" s="171">
        <f t="shared" si="9"/>
        <v>2988</v>
      </c>
    </row>
    <row r="99" spans="1:23" ht="18">
      <c r="A99" s="233" t="s">
        <v>7</v>
      </c>
      <c r="B99" s="320" t="s">
        <v>8</v>
      </c>
      <c r="C99" s="320" t="s">
        <v>438</v>
      </c>
      <c r="D99" s="320" t="s">
        <v>350</v>
      </c>
      <c r="E99" s="320"/>
      <c r="F99" s="698" t="s">
        <v>418</v>
      </c>
      <c r="G99" s="698" t="s">
        <v>416</v>
      </c>
      <c r="H99" s="302" t="s">
        <v>1939</v>
      </c>
      <c r="I99" s="659">
        <v>95794853</v>
      </c>
      <c r="J99" s="138" t="s">
        <v>364</v>
      </c>
      <c r="K99" s="319">
        <v>2</v>
      </c>
      <c r="L99" s="41"/>
      <c r="M99" s="12">
        <f>1285-200</f>
        <v>1085</v>
      </c>
      <c r="N99" s="12">
        <f>2638-431</f>
        <v>2207</v>
      </c>
      <c r="O99" s="171">
        <f t="shared" si="5"/>
        <v>3292</v>
      </c>
      <c r="P99" s="41"/>
      <c r="Q99" s="12">
        <f>1285-200</f>
        <v>1085</v>
      </c>
      <c r="R99" s="12">
        <f>2638-431</f>
        <v>2207</v>
      </c>
      <c r="S99" s="171">
        <f t="shared" si="6"/>
        <v>3292</v>
      </c>
      <c r="T99" s="41"/>
      <c r="U99" s="79">
        <f t="shared" si="7"/>
        <v>2170</v>
      </c>
      <c r="V99" s="79">
        <f t="shared" si="8"/>
        <v>4414</v>
      </c>
      <c r="W99" s="171">
        <f t="shared" si="9"/>
        <v>6584</v>
      </c>
    </row>
    <row r="100" spans="1:23" ht="29.25">
      <c r="A100" s="233" t="s">
        <v>7</v>
      </c>
      <c r="B100" s="352" t="s">
        <v>8</v>
      </c>
      <c r="C100" s="352" t="s">
        <v>434</v>
      </c>
      <c r="D100" s="352" t="s">
        <v>1783</v>
      </c>
      <c r="E100" s="352"/>
      <c r="F100" s="353" t="s">
        <v>418</v>
      </c>
      <c r="G100" s="353" t="s">
        <v>416</v>
      </c>
      <c r="H100" s="302" t="s">
        <v>1941</v>
      </c>
      <c r="I100" s="51">
        <v>95794791</v>
      </c>
      <c r="J100" s="368" t="s">
        <v>364</v>
      </c>
      <c r="K100" s="314">
        <v>2</v>
      </c>
      <c r="L100" s="41"/>
      <c r="M100" s="97">
        <f>2015-263</f>
        <v>1752</v>
      </c>
      <c r="N100" s="97">
        <f>4066-566</f>
        <v>3500</v>
      </c>
      <c r="O100" s="171">
        <f t="shared" si="5"/>
        <v>5252</v>
      </c>
      <c r="P100" s="41"/>
      <c r="Q100" s="97">
        <f>2015-263</f>
        <v>1752</v>
      </c>
      <c r="R100" s="97">
        <f>4066-566</f>
        <v>3500</v>
      </c>
      <c r="S100" s="171">
        <f t="shared" si="6"/>
        <v>5252</v>
      </c>
      <c r="T100" s="41"/>
      <c r="U100" s="79">
        <f t="shared" si="7"/>
        <v>3504</v>
      </c>
      <c r="V100" s="79">
        <f t="shared" si="8"/>
        <v>7000</v>
      </c>
      <c r="W100" s="171">
        <f t="shared" si="9"/>
        <v>10504</v>
      </c>
    </row>
    <row r="101" spans="1:23" ht="18">
      <c r="A101" s="233" t="s">
        <v>7</v>
      </c>
      <c r="B101" s="352" t="s">
        <v>2177</v>
      </c>
      <c r="C101" s="352" t="s">
        <v>416</v>
      </c>
      <c r="D101" s="352" t="s">
        <v>326</v>
      </c>
      <c r="E101" s="352"/>
      <c r="F101" s="353" t="s">
        <v>418</v>
      </c>
      <c r="G101" s="353" t="s">
        <v>416</v>
      </c>
      <c r="H101" s="302" t="s">
        <v>2069</v>
      </c>
      <c r="I101" s="51">
        <v>95794796</v>
      </c>
      <c r="J101" s="368" t="s">
        <v>364</v>
      </c>
      <c r="K101" s="314">
        <v>1</v>
      </c>
      <c r="L101" s="41"/>
      <c r="M101" s="78">
        <f>232-29</f>
        <v>203</v>
      </c>
      <c r="N101" s="78">
        <f>525-79</f>
        <v>446</v>
      </c>
      <c r="O101" s="171">
        <f t="shared" si="5"/>
        <v>649</v>
      </c>
      <c r="P101" s="41"/>
      <c r="Q101" s="78">
        <f>232-29</f>
        <v>203</v>
      </c>
      <c r="R101" s="78">
        <f>525-79</f>
        <v>446</v>
      </c>
      <c r="S101" s="171">
        <f t="shared" si="6"/>
        <v>649</v>
      </c>
      <c r="T101" s="41"/>
      <c r="U101" s="79">
        <f t="shared" si="7"/>
        <v>406</v>
      </c>
      <c r="V101" s="79">
        <f t="shared" si="8"/>
        <v>892</v>
      </c>
      <c r="W101" s="171">
        <f t="shared" si="9"/>
        <v>1298</v>
      </c>
    </row>
    <row r="102" spans="1:23" ht="18">
      <c r="A102" s="233" t="s">
        <v>7</v>
      </c>
      <c r="B102" s="352" t="s">
        <v>2177</v>
      </c>
      <c r="C102" s="352" t="s">
        <v>416</v>
      </c>
      <c r="D102" s="352" t="s">
        <v>308</v>
      </c>
      <c r="E102" s="352"/>
      <c r="F102" s="353" t="s">
        <v>418</v>
      </c>
      <c r="G102" s="353" t="s">
        <v>416</v>
      </c>
      <c r="H102" s="302" t="s">
        <v>2071</v>
      </c>
      <c r="I102" s="51">
        <v>95794830</v>
      </c>
      <c r="J102" s="368" t="s">
        <v>364</v>
      </c>
      <c r="K102" s="314">
        <v>1</v>
      </c>
      <c r="L102" s="41"/>
      <c r="M102" s="78">
        <f>261-33</f>
        <v>228</v>
      </c>
      <c r="N102" s="78">
        <f>556-76</f>
        <v>480</v>
      </c>
      <c r="O102" s="171">
        <f t="shared" si="5"/>
        <v>708</v>
      </c>
      <c r="P102" s="41"/>
      <c r="Q102" s="78">
        <f>261-33</f>
        <v>228</v>
      </c>
      <c r="R102" s="78">
        <f>556-76</f>
        <v>480</v>
      </c>
      <c r="S102" s="171">
        <f t="shared" si="6"/>
        <v>708</v>
      </c>
      <c r="T102" s="41"/>
      <c r="U102" s="79">
        <f t="shared" si="7"/>
        <v>456</v>
      </c>
      <c r="V102" s="79">
        <f t="shared" si="8"/>
        <v>960</v>
      </c>
      <c r="W102" s="171">
        <f t="shared" si="9"/>
        <v>1416</v>
      </c>
    </row>
    <row r="103" spans="1:23" ht="29.25">
      <c r="A103" s="233" t="s">
        <v>7</v>
      </c>
      <c r="B103" s="352" t="s">
        <v>2177</v>
      </c>
      <c r="C103" s="352" t="s">
        <v>1942</v>
      </c>
      <c r="D103" s="352"/>
      <c r="E103" s="352"/>
      <c r="F103" s="353" t="s">
        <v>418</v>
      </c>
      <c r="G103" s="353" t="s">
        <v>416</v>
      </c>
      <c r="H103" s="302" t="s">
        <v>2070</v>
      </c>
      <c r="I103" s="51">
        <v>83746691</v>
      </c>
      <c r="J103" s="368" t="s">
        <v>364</v>
      </c>
      <c r="K103" s="314">
        <v>3</v>
      </c>
      <c r="L103" s="41"/>
      <c r="M103" s="78">
        <f>5087-3744</f>
        <v>1343</v>
      </c>
      <c r="N103" s="78">
        <f>17473-14577</f>
        <v>2896</v>
      </c>
      <c r="O103" s="171">
        <f t="shared" si="5"/>
        <v>4239</v>
      </c>
      <c r="P103" s="41"/>
      <c r="Q103" s="78">
        <f>5087-3744</f>
        <v>1343</v>
      </c>
      <c r="R103" s="78">
        <f>17473-14577</f>
        <v>2896</v>
      </c>
      <c r="S103" s="171">
        <f t="shared" si="6"/>
        <v>4239</v>
      </c>
      <c r="T103" s="41"/>
      <c r="U103" s="79">
        <f t="shared" si="7"/>
        <v>2686</v>
      </c>
      <c r="V103" s="79">
        <f t="shared" si="8"/>
        <v>5792</v>
      </c>
      <c r="W103" s="171">
        <f t="shared" si="9"/>
        <v>8478</v>
      </c>
    </row>
    <row r="104" spans="1:23" ht="18">
      <c r="A104" s="233" t="s">
        <v>7</v>
      </c>
      <c r="B104" s="352" t="s">
        <v>2177</v>
      </c>
      <c r="C104" s="352" t="s">
        <v>481</v>
      </c>
      <c r="D104" s="352" t="s">
        <v>1886</v>
      </c>
      <c r="E104" s="352"/>
      <c r="F104" s="353" t="s">
        <v>418</v>
      </c>
      <c r="G104" s="353" t="s">
        <v>416</v>
      </c>
      <c r="H104" s="302" t="s">
        <v>2072</v>
      </c>
      <c r="I104" s="51">
        <v>83746709</v>
      </c>
      <c r="J104" s="368" t="s">
        <v>364</v>
      </c>
      <c r="K104" s="314">
        <v>2</v>
      </c>
      <c r="L104" s="41"/>
      <c r="M104" s="78">
        <f>3184-1695</f>
        <v>1489</v>
      </c>
      <c r="N104" s="78">
        <f>10566-7525</f>
        <v>3041</v>
      </c>
      <c r="O104" s="171">
        <f t="shared" si="5"/>
        <v>4530</v>
      </c>
      <c r="P104" s="41"/>
      <c r="Q104" s="78">
        <f>3184-1695</f>
        <v>1489</v>
      </c>
      <c r="R104" s="78">
        <f>10566-7525</f>
        <v>3041</v>
      </c>
      <c r="S104" s="171">
        <f t="shared" si="6"/>
        <v>4530</v>
      </c>
      <c r="T104" s="41"/>
      <c r="U104" s="79">
        <f t="shared" si="7"/>
        <v>2978</v>
      </c>
      <c r="V104" s="79">
        <f t="shared" si="8"/>
        <v>6082</v>
      </c>
      <c r="W104" s="171">
        <f t="shared" si="9"/>
        <v>9060</v>
      </c>
    </row>
    <row r="105" spans="1:23" ht="18">
      <c r="A105" s="233" t="s">
        <v>7</v>
      </c>
      <c r="B105" s="352" t="s">
        <v>2177</v>
      </c>
      <c r="C105" s="352" t="s">
        <v>462</v>
      </c>
      <c r="D105" s="352" t="s">
        <v>39</v>
      </c>
      <c r="E105" s="352"/>
      <c r="F105" s="353" t="s">
        <v>418</v>
      </c>
      <c r="G105" s="353" t="s">
        <v>416</v>
      </c>
      <c r="H105" s="302" t="s">
        <v>2074</v>
      </c>
      <c r="I105" s="51">
        <v>95794862</v>
      </c>
      <c r="J105" s="369" t="s">
        <v>364</v>
      </c>
      <c r="K105" s="314">
        <v>2</v>
      </c>
      <c r="L105" s="41"/>
      <c r="M105" s="78">
        <f>949-128</f>
        <v>821</v>
      </c>
      <c r="N105" s="78">
        <f>1974-292</f>
        <v>1682</v>
      </c>
      <c r="O105" s="171">
        <f t="shared" si="5"/>
        <v>2503</v>
      </c>
      <c r="P105" s="41"/>
      <c r="Q105" s="78">
        <f>949-128</f>
        <v>821</v>
      </c>
      <c r="R105" s="78">
        <f>1974-292</f>
        <v>1682</v>
      </c>
      <c r="S105" s="171">
        <f t="shared" si="6"/>
        <v>2503</v>
      </c>
      <c r="T105" s="41"/>
      <c r="U105" s="79">
        <f t="shared" si="7"/>
        <v>1642</v>
      </c>
      <c r="V105" s="79">
        <f t="shared" si="8"/>
        <v>3364</v>
      </c>
      <c r="W105" s="171">
        <f t="shared" si="9"/>
        <v>5006</v>
      </c>
    </row>
    <row r="106" spans="1:23" ht="43.5">
      <c r="A106" s="233" t="s">
        <v>7</v>
      </c>
      <c r="B106" s="352" t="s">
        <v>2177</v>
      </c>
      <c r="C106" s="352" t="s">
        <v>1647</v>
      </c>
      <c r="D106" s="352"/>
      <c r="E106" s="352"/>
      <c r="F106" s="353" t="s">
        <v>418</v>
      </c>
      <c r="G106" s="353" t="s">
        <v>416</v>
      </c>
      <c r="H106" s="302" t="s">
        <v>2073</v>
      </c>
      <c r="I106" s="51">
        <v>83246725</v>
      </c>
      <c r="J106" s="368" t="s">
        <v>364</v>
      </c>
      <c r="K106" s="314">
        <v>3</v>
      </c>
      <c r="L106" s="41"/>
      <c r="M106" s="78">
        <f>4555-2426</f>
        <v>2129</v>
      </c>
      <c r="N106" s="78">
        <f>12401-8154</f>
        <v>4247</v>
      </c>
      <c r="O106" s="171">
        <f t="shared" si="5"/>
        <v>6376</v>
      </c>
      <c r="P106" s="41"/>
      <c r="Q106" s="78">
        <f>4555-2426</f>
        <v>2129</v>
      </c>
      <c r="R106" s="78">
        <f>12401-8154</f>
        <v>4247</v>
      </c>
      <c r="S106" s="171">
        <f t="shared" si="6"/>
        <v>6376</v>
      </c>
      <c r="T106" s="41"/>
      <c r="U106" s="79">
        <f t="shared" si="7"/>
        <v>4258</v>
      </c>
      <c r="V106" s="79">
        <f t="shared" si="8"/>
        <v>8494</v>
      </c>
      <c r="W106" s="171">
        <f t="shared" si="9"/>
        <v>12752</v>
      </c>
    </row>
    <row r="107" spans="1:23" ht="18">
      <c r="A107" s="233" t="s">
        <v>7</v>
      </c>
      <c r="B107" s="352" t="s">
        <v>2177</v>
      </c>
      <c r="C107" s="352" t="s">
        <v>469</v>
      </c>
      <c r="D107" s="352"/>
      <c r="E107" s="352" t="s">
        <v>2165</v>
      </c>
      <c r="F107" s="353" t="s">
        <v>418</v>
      </c>
      <c r="G107" s="353" t="s">
        <v>416</v>
      </c>
      <c r="H107" s="302" t="s">
        <v>2164</v>
      </c>
      <c r="I107" s="51">
        <v>83246650</v>
      </c>
      <c r="J107" s="368" t="s">
        <v>364</v>
      </c>
      <c r="K107" s="314">
        <v>2</v>
      </c>
      <c r="L107" s="41"/>
      <c r="M107" s="78">
        <f>62*14</f>
        <v>868</v>
      </c>
      <c r="N107" s="78">
        <f>172*14</f>
        <v>2408</v>
      </c>
      <c r="O107" s="171">
        <f t="shared" si="5"/>
        <v>3276</v>
      </c>
      <c r="P107" s="41"/>
      <c r="Q107" s="78">
        <f>62*14</f>
        <v>868</v>
      </c>
      <c r="R107" s="78">
        <f>172*14</f>
        <v>2408</v>
      </c>
      <c r="S107" s="171">
        <f t="shared" si="6"/>
        <v>3276</v>
      </c>
      <c r="T107" s="41"/>
      <c r="U107" s="79">
        <f t="shared" si="7"/>
        <v>1736</v>
      </c>
      <c r="V107" s="79">
        <f t="shared" si="8"/>
        <v>4816</v>
      </c>
      <c r="W107" s="171">
        <f t="shared" si="9"/>
        <v>6552</v>
      </c>
    </row>
    <row r="108" spans="1:23" ht="18">
      <c r="A108" s="233" t="s">
        <v>7</v>
      </c>
      <c r="B108" s="352" t="s">
        <v>2177</v>
      </c>
      <c r="C108" s="352" t="s">
        <v>462</v>
      </c>
      <c r="D108" s="352" t="s">
        <v>352</v>
      </c>
      <c r="E108" s="352" t="s">
        <v>2175</v>
      </c>
      <c r="F108" s="353" t="s">
        <v>418</v>
      </c>
      <c r="G108" s="353" t="s">
        <v>416</v>
      </c>
      <c r="H108" s="302" t="s">
        <v>2176</v>
      </c>
      <c r="I108" s="51">
        <v>83247335</v>
      </c>
      <c r="J108" s="368" t="s">
        <v>364</v>
      </c>
      <c r="K108" s="314">
        <v>1</v>
      </c>
      <c r="L108" s="41"/>
      <c r="M108" s="78">
        <f>36*14</f>
        <v>504</v>
      </c>
      <c r="N108" s="78">
        <f>98*14</f>
        <v>1372</v>
      </c>
      <c r="O108" s="171">
        <f t="shared" si="5"/>
        <v>1876</v>
      </c>
      <c r="P108" s="41"/>
      <c r="Q108" s="78">
        <f>36*14</f>
        <v>504</v>
      </c>
      <c r="R108" s="78">
        <f>98*14</f>
        <v>1372</v>
      </c>
      <c r="S108" s="171">
        <f t="shared" si="6"/>
        <v>1876</v>
      </c>
      <c r="T108" s="41"/>
      <c r="U108" s="79">
        <f t="shared" si="7"/>
        <v>1008</v>
      </c>
      <c r="V108" s="79">
        <f t="shared" si="8"/>
        <v>2744</v>
      </c>
      <c r="W108" s="171">
        <f t="shared" si="9"/>
        <v>3752</v>
      </c>
    </row>
    <row r="109" spans="1:23" ht="43.5">
      <c r="A109" s="233" t="s">
        <v>7</v>
      </c>
      <c r="B109" s="352" t="s">
        <v>2177</v>
      </c>
      <c r="C109" s="352" t="s">
        <v>2166</v>
      </c>
      <c r="D109" s="352"/>
      <c r="E109" s="352" t="s">
        <v>2178</v>
      </c>
      <c r="F109" s="353" t="s">
        <v>418</v>
      </c>
      <c r="G109" s="353" t="s">
        <v>416</v>
      </c>
      <c r="H109" s="302" t="s">
        <v>2167</v>
      </c>
      <c r="I109" s="51">
        <v>83246715</v>
      </c>
      <c r="J109" s="368" t="s">
        <v>364</v>
      </c>
      <c r="K109" s="314">
        <v>1</v>
      </c>
      <c r="L109" s="41"/>
      <c r="M109" s="78">
        <f>20*14</f>
        <v>280</v>
      </c>
      <c r="N109" s="78">
        <f>81*14</f>
        <v>1134</v>
      </c>
      <c r="O109" s="171">
        <f t="shared" si="5"/>
        <v>1414</v>
      </c>
      <c r="P109" s="41"/>
      <c r="Q109" s="78">
        <f>20*14</f>
        <v>280</v>
      </c>
      <c r="R109" s="78">
        <f>81*14</f>
        <v>1134</v>
      </c>
      <c r="S109" s="171">
        <f t="shared" si="6"/>
        <v>1414</v>
      </c>
      <c r="T109" s="41"/>
      <c r="U109" s="79">
        <f t="shared" si="7"/>
        <v>560</v>
      </c>
      <c r="V109" s="79">
        <f t="shared" si="8"/>
        <v>2268</v>
      </c>
      <c r="W109" s="171">
        <f t="shared" si="9"/>
        <v>2828</v>
      </c>
    </row>
    <row r="110" spans="1:23" ht="18">
      <c r="A110" s="233" t="s">
        <v>7</v>
      </c>
      <c r="B110" s="352" t="s">
        <v>2177</v>
      </c>
      <c r="C110" s="352" t="s">
        <v>2172</v>
      </c>
      <c r="D110" s="352"/>
      <c r="E110" s="352" t="s">
        <v>2173</v>
      </c>
      <c r="F110" s="353" t="s">
        <v>418</v>
      </c>
      <c r="G110" s="353" t="s">
        <v>416</v>
      </c>
      <c r="H110" s="302" t="s">
        <v>2174</v>
      </c>
      <c r="I110" s="51">
        <v>83246629</v>
      </c>
      <c r="J110" s="368" t="s">
        <v>364</v>
      </c>
      <c r="K110" s="314">
        <v>3</v>
      </c>
      <c r="L110" s="41"/>
      <c r="M110" s="78">
        <f>81*14</f>
        <v>1134</v>
      </c>
      <c r="N110" s="78">
        <f>233*14</f>
        <v>3262</v>
      </c>
      <c r="O110" s="171">
        <f t="shared" si="5"/>
        <v>4396</v>
      </c>
      <c r="P110" s="41"/>
      <c r="Q110" s="78">
        <f>81*14</f>
        <v>1134</v>
      </c>
      <c r="R110" s="78">
        <f>233*14</f>
        <v>3262</v>
      </c>
      <c r="S110" s="171">
        <f t="shared" si="6"/>
        <v>4396</v>
      </c>
      <c r="T110" s="41"/>
      <c r="U110" s="79">
        <f t="shared" si="7"/>
        <v>2268</v>
      </c>
      <c r="V110" s="79">
        <f t="shared" si="8"/>
        <v>6524</v>
      </c>
      <c r="W110" s="171">
        <f t="shared" si="9"/>
        <v>8792</v>
      </c>
    </row>
    <row r="111" spans="1:23" ht="18">
      <c r="A111" s="233" t="s">
        <v>7</v>
      </c>
      <c r="B111" s="352" t="s">
        <v>2177</v>
      </c>
      <c r="C111" s="352" t="s">
        <v>462</v>
      </c>
      <c r="D111" s="352" t="s">
        <v>2168</v>
      </c>
      <c r="E111" s="352"/>
      <c r="F111" s="353" t="s">
        <v>418</v>
      </c>
      <c r="G111" s="353" t="s">
        <v>416</v>
      </c>
      <c r="H111" s="302" t="s">
        <v>2169</v>
      </c>
      <c r="I111" s="51">
        <v>83246652</v>
      </c>
      <c r="J111" s="368" t="s">
        <v>364</v>
      </c>
      <c r="K111" s="314">
        <v>3</v>
      </c>
      <c r="L111" s="41"/>
      <c r="M111" s="78">
        <f>80*14</f>
        <v>1120</v>
      </c>
      <c r="N111" s="78">
        <f>210*14</f>
        <v>2940</v>
      </c>
      <c r="O111" s="171">
        <f t="shared" si="5"/>
        <v>4060</v>
      </c>
      <c r="P111" s="41"/>
      <c r="Q111" s="78">
        <f>80*14</f>
        <v>1120</v>
      </c>
      <c r="R111" s="78">
        <f>210*14</f>
        <v>2940</v>
      </c>
      <c r="S111" s="171">
        <f t="shared" si="6"/>
        <v>4060</v>
      </c>
      <c r="T111" s="41"/>
      <c r="U111" s="79">
        <f t="shared" si="7"/>
        <v>2240</v>
      </c>
      <c r="V111" s="79">
        <f t="shared" si="8"/>
        <v>5880</v>
      </c>
      <c r="W111" s="171">
        <f t="shared" si="9"/>
        <v>8120</v>
      </c>
    </row>
    <row r="112" spans="1:23" ht="43.5">
      <c r="A112" s="233" t="s">
        <v>7</v>
      </c>
      <c r="B112" s="352" t="s">
        <v>2177</v>
      </c>
      <c r="C112" s="352" t="s">
        <v>1647</v>
      </c>
      <c r="D112" s="352"/>
      <c r="E112" s="352" t="s">
        <v>2170</v>
      </c>
      <c r="F112" s="353" t="s">
        <v>418</v>
      </c>
      <c r="G112" s="353" t="s">
        <v>416</v>
      </c>
      <c r="H112" s="302" t="s">
        <v>2171</v>
      </c>
      <c r="I112" s="51">
        <v>83246647</v>
      </c>
      <c r="J112" s="368" t="s">
        <v>364</v>
      </c>
      <c r="K112" s="314">
        <v>2</v>
      </c>
      <c r="L112" s="41"/>
      <c r="M112" s="78">
        <f>29*14</f>
        <v>406</v>
      </c>
      <c r="N112" s="78">
        <f>88*14</f>
        <v>1232</v>
      </c>
      <c r="O112" s="171">
        <f t="shared" si="5"/>
        <v>1638</v>
      </c>
      <c r="P112" s="41"/>
      <c r="Q112" s="78">
        <f>29*14</f>
        <v>406</v>
      </c>
      <c r="R112" s="78">
        <f>88*14</f>
        <v>1232</v>
      </c>
      <c r="S112" s="171">
        <f t="shared" si="6"/>
        <v>1638</v>
      </c>
      <c r="T112" s="41"/>
      <c r="U112" s="79">
        <f t="shared" si="7"/>
        <v>812</v>
      </c>
      <c r="V112" s="79">
        <f t="shared" si="8"/>
        <v>2464</v>
      </c>
      <c r="W112" s="171">
        <f t="shared" si="9"/>
        <v>3276</v>
      </c>
    </row>
    <row r="113" spans="1:23" ht="18">
      <c r="A113" s="233" t="s">
        <v>7</v>
      </c>
      <c r="B113" s="56" t="s">
        <v>1282</v>
      </c>
      <c r="C113" s="51" t="s">
        <v>440</v>
      </c>
      <c r="D113" s="51" t="s">
        <v>2238</v>
      </c>
      <c r="E113" s="59" t="s">
        <v>2239</v>
      </c>
      <c r="F113" s="51" t="s">
        <v>418</v>
      </c>
      <c r="G113" s="51" t="s">
        <v>416</v>
      </c>
      <c r="H113" s="313" t="s">
        <v>2240</v>
      </c>
      <c r="I113" s="573">
        <v>95798820</v>
      </c>
      <c r="J113" s="137" t="s">
        <v>364</v>
      </c>
      <c r="K113" s="76">
        <v>2</v>
      </c>
      <c r="L113" s="91"/>
      <c r="M113" s="12">
        <f>41*14</f>
        <v>574</v>
      </c>
      <c r="N113" s="580">
        <f>114*14</f>
        <v>1596</v>
      </c>
      <c r="O113" s="12">
        <f>M113+N113</f>
        <v>2170</v>
      </c>
      <c r="P113" s="91"/>
      <c r="Q113" s="12">
        <f>41*14</f>
        <v>574</v>
      </c>
      <c r="R113" s="580">
        <f>114*14</f>
        <v>1596</v>
      </c>
      <c r="S113" s="12">
        <f>Q113+R113</f>
        <v>2170</v>
      </c>
      <c r="T113" s="91"/>
      <c r="U113" s="79">
        <f t="shared" si="7"/>
        <v>1148</v>
      </c>
      <c r="V113" s="79">
        <f t="shared" si="8"/>
        <v>3192</v>
      </c>
      <c r="W113" s="12">
        <f>U113+V113</f>
        <v>4340</v>
      </c>
    </row>
    <row r="114" spans="1:23" ht="18">
      <c r="A114" s="233" t="s">
        <v>7</v>
      </c>
      <c r="B114" s="56" t="s">
        <v>1282</v>
      </c>
      <c r="C114" s="51" t="s">
        <v>2172</v>
      </c>
      <c r="D114" s="51"/>
      <c r="E114" s="59" t="s">
        <v>2241</v>
      </c>
      <c r="F114" s="51" t="s">
        <v>418</v>
      </c>
      <c r="G114" s="51" t="s">
        <v>416</v>
      </c>
      <c r="H114" s="302" t="s">
        <v>2242</v>
      </c>
      <c r="I114" s="573">
        <v>95798815</v>
      </c>
      <c r="J114" s="137" t="s">
        <v>364</v>
      </c>
      <c r="K114" s="76">
        <v>3</v>
      </c>
      <c r="L114" s="91"/>
      <c r="M114" s="12">
        <f>1000</f>
        <v>1000</v>
      </c>
      <c r="N114" s="580">
        <v>2000</v>
      </c>
      <c r="O114" s="12">
        <f>M114+N114</f>
        <v>3000</v>
      </c>
      <c r="P114" s="91"/>
      <c r="Q114" s="12">
        <f>1000</f>
        <v>1000</v>
      </c>
      <c r="R114" s="580">
        <v>2000</v>
      </c>
      <c r="S114" s="12">
        <f>Q114+R114</f>
        <v>3000</v>
      </c>
      <c r="T114" s="91"/>
      <c r="U114" s="79">
        <f t="shared" si="7"/>
        <v>2000</v>
      </c>
      <c r="V114" s="79">
        <f t="shared" si="8"/>
        <v>4000</v>
      </c>
      <c r="W114" s="12">
        <f>U114+V114</f>
        <v>6000</v>
      </c>
    </row>
    <row r="115" spans="1:23" ht="29.25">
      <c r="A115" s="233" t="s">
        <v>7</v>
      </c>
      <c r="B115" s="56" t="s">
        <v>1282</v>
      </c>
      <c r="C115" s="51" t="s">
        <v>481</v>
      </c>
      <c r="D115" s="56" t="s">
        <v>2243</v>
      </c>
      <c r="E115" s="59" t="s">
        <v>2244</v>
      </c>
      <c r="F115" s="51" t="s">
        <v>418</v>
      </c>
      <c r="G115" s="51" t="s">
        <v>416</v>
      </c>
      <c r="H115" s="302" t="s">
        <v>2245</v>
      </c>
      <c r="I115" s="573">
        <v>95799860</v>
      </c>
      <c r="J115" s="137" t="s">
        <v>364</v>
      </c>
      <c r="K115" s="76">
        <v>3</v>
      </c>
      <c r="L115" s="91"/>
      <c r="M115" s="12">
        <f>70*14</f>
        <v>980</v>
      </c>
      <c r="N115" s="580">
        <f>82*14</f>
        <v>1148</v>
      </c>
      <c r="O115" s="12">
        <f>M115+N115</f>
        <v>2128</v>
      </c>
      <c r="P115" s="91"/>
      <c r="Q115" s="12">
        <f>70*14</f>
        <v>980</v>
      </c>
      <c r="R115" s="580">
        <f>82*14</f>
        <v>1148</v>
      </c>
      <c r="S115" s="12">
        <f>Q115+R115</f>
        <v>2128</v>
      </c>
      <c r="T115" s="91"/>
      <c r="U115" s="79">
        <f t="shared" si="7"/>
        <v>1960</v>
      </c>
      <c r="V115" s="79">
        <f t="shared" si="8"/>
        <v>2296</v>
      </c>
      <c r="W115" s="12">
        <f>U115+V115</f>
        <v>4256</v>
      </c>
    </row>
    <row r="116" spans="1:23" ht="18">
      <c r="A116" s="233" t="s">
        <v>7</v>
      </c>
      <c r="B116" s="56" t="s">
        <v>1282</v>
      </c>
      <c r="C116" s="51" t="s">
        <v>416</v>
      </c>
      <c r="D116" s="56" t="s">
        <v>46</v>
      </c>
      <c r="E116" s="59" t="s">
        <v>2246</v>
      </c>
      <c r="F116" s="51" t="s">
        <v>418</v>
      </c>
      <c r="G116" s="51" t="s">
        <v>416</v>
      </c>
      <c r="H116" s="302" t="s">
        <v>2247</v>
      </c>
      <c r="I116" s="573">
        <v>95817469</v>
      </c>
      <c r="J116" s="137" t="s">
        <v>364</v>
      </c>
      <c r="K116" s="76">
        <v>3</v>
      </c>
      <c r="L116" s="91"/>
      <c r="M116" s="12">
        <f>24*14</f>
        <v>336</v>
      </c>
      <c r="N116" s="580">
        <f>35*14</f>
        <v>490</v>
      </c>
      <c r="O116" s="12">
        <f>M116+N116</f>
        <v>826</v>
      </c>
      <c r="P116" s="91"/>
      <c r="Q116" s="12">
        <f>24*14</f>
        <v>336</v>
      </c>
      <c r="R116" s="580">
        <f>35*14</f>
        <v>490</v>
      </c>
      <c r="S116" s="12">
        <f>Q116+R116</f>
        <v>826</v>
      </c>
      <c r="T116" s="91"/>
      <c r="U116" s="79">
        <f t="shared" si="7"/>
        <v>672</v>
      </c>
      <c r="V116" s="79">
        <f t="shared" si="8"/>
        <v>980</v>
      </c>
      <c r="W116" s="12">
        <f>U116+V116</f>
        <v>1652</v>
      </c>
    </row>
    <row r="117" spans="1:23" ht="18">
      <c r="A117" s="233" t="s">
        <v>7</v>
      </c>
      <c r="B117" s="56" t="s">
        <v>415</v>
      </c>
      <c r="C117" s="56" t="s">
        <v>469</v>
      </c>
      <c r="D117" s="56"/>
      <c r="E117" s="51"/>
      <c r="F117" s="75" t="s">
        <v>418</v>
      </c>
      <c r="G117" s="51" t="s">
        <v>416</v>
      </c>
      <c r="H117" s="302" t="s">
        <v>470</v>
      </c>
      <c r="I117" s="656">
        <v>95794883</v>
      </c>
      <c r="J117" s="228" t="s">
        <v>12</v>
      </c>
      <c r="K117" s="301">
        <v>1.7000000000000002</v>
      </c>
      <c r="L117" s="41"/>
      <c r="M117" s="78">
        <f>1412-190</f>
        <v>1222</v>
      </c>
      <c r="N117" s="78">
        <f>2939-454</f>
        <v>2485</v>
      </c>
      <c r="O117" s="171">
        <f t="shared" si="5"/>
        <v>3707</v>
      </c>
      <c r="P117" s="41"/>
      <c r="Q117" s="78">
        <f>1412-190</f>
        <v>1222</v>
      </c>
      <c r="R117" s="78">
        <f>2939-454</f>
        <v>2485</v>
      </c>
      <c r="S117" s="171">
        <f t="shared" si="6"/>
        <v>3707</v>
      </c>
      <c r="T117" s="41"/>
      <c r="U117" s="79">
        <f aca="true" t="shared" si="10" ref="U117:V122">M117+Q117</f>
        <v>2444</v>
      </c>
      <c r="V117" s="79">
        <f t="shared" si="10"/>
        <v>4970</v>
      </c>
      <c r="W117" s="171">
        <f t="shared" si="9"/>
        <v>7414</v>
      </c>
    </row>
    <row r="118" spans="1:23" ht="18">
      <c r="A118" s="233" t="s">
        <v>7</v>
      </c>
      <c r="B118" s="56" t="s">
        <v>415</v>
      </c>
      <c r="C118" s="56" t="s">
        <v>481</v>
      </c>
      <c r="D118" s="56"/>
      <c r="E118" s="51"/>
      <c r="F118" s="75" t="s">
        <v>418</v>
      </c>
      <c r="G118" s="51" t="s">
        <v>416</v>
      </c>
      <c r="H118" s="302" t="s">
        <v>484</v>
      </c>
      <c r="I118" s="656">
        <v>95794875</v>
      </c>
      <c r="J118" s="136" t="s">
        <v>12</v>
      </c>
      <c r="K118" s="301">
        <v>3</v>
      </c>
      <c r="L118" s="41"/>
      <c r="M118" s="78">
        <f>3142-359</f>
        <v>2783</v>
      </c>
      <c r="N118" s="78">
        <f>6340-868</f>
        <v>5472</v>
      </c>
      <c r="O118" s="171">
        <f t="shared" si="5"/>
        <v>8255</v>
      </c>
      <c r="P118" s="41"/>
      <c r="Q118" s="78">
        <f>3142-359</f>
        <v>2783</v>
      </c>
      <c r="R118" s="78">
        <f>6340-868</f>
        <v>5472</v>
      </c>
      <c r="S118" s="171">
        <f t="shared" si="6"/>
        <v>8255</v>
      </c>
      <c r="T118" s="41"/>
      <c r="U118" s="79">
        <f t="shared" si="10"/>
        <v>5566</v>
      </c>
      <c r="V118" s="79">
        <f t="shared" si="10"/>
        <v>10944</v>
      </c>
      <c r="W118" s="171">
        <f t="shared" si="9"/>
        <v>16510</v>
      </c>
    </row>
    <row r="119" spans="1:23" ht="18">
      <c r="A119" s="233" t="s">
        <v>7</v>
      </c>
      <c r="B119" s="158" t="s">
        <v>8</v>
      </c>
      <c r="C119" s="168" t="s">
        <v>456</v>
      </c>
      <c r="D119" s="158"/>
      <c r="E119" s="57"/>
      <c r="F119" s="75" t="s">
        <v>418</v>
      </c>
      <c r="G119" s="51" t="s">
        <v>416</v>
      </c>
      <c r="H119" s="302" t="s">
        <v>1656</v>
      </c>
      <c r="I119" s="658">
        <v>95794857</v>
      </c>
      <c r="J119" s="136" t="s">
        <v>12</v>
      </c>
      <c r="K119" s="242">
        <v>0.5</v>
      </c>
      <c r="L119" s="170"/>
      <c r="M119" s="171">
        <f>837-121</f>
        <v>716</v>
      </c>
      <c r="N119" s="171">
        <f>1705-259</f>
        <v>1446</v>
      </c>
      <c r="O119" s="171">
        <f t="shared" si="5"/>
        <v>2162</v>
      </c>
      <c r="P119" s="170"/>
      <c r="Q119" s="171">
        <f>837-121</f>
        <v>716</v>
      </c>
      <c r="R119" s="171">
        <f>1705-259</f>
        <v>1446</v>
      </c>
      <c r="S119" s="171">
        <f t="shared" si="6"/>
        <v>2162</v>
      </c>
      <c r="T119" s="170"/>
      <c r="U119" s="79">
        <f t="shared" si="10"/>
        <v>1432</v>
      </c>
      <c r="V119" s="79">
        <f t="shared" si="10"/>
        <v>2892</v>
      </c>
      <c r="W119" s="171">
        <f t="shared" si="9"/>
        <v>4324</v>
      </c>
    </row>
    <row r="120" spans="1:23" ht="18">
      <c r="A120" s="233" t="s">
        <v>7</v>
      </c>
      <c r="B120" s="352" t="s">
        <v>8</v>
      </c>
      <c r="C120" s="352" t="s">
        <v>416</v>
      </c>
      <c r="D120" s="352" t="s">
        <v>352</v>
      </c>
      <c r="E120" s="352"/>
      <c r="F120" s="353" t="s">
        <v>418</v>
      </c>
      <c r="G120" s="353" t="s">
        <v>416</v>
      </c>
      <c r="H120" s="302" t="s">
        <v>1940</v>
      </c>
      <c r="I120" s="51">
        <v>95794880</v>
      </c>
      <c r="J120" s="228" t="s">
        <v>12</v>
      </c>
      <c r="K120" s="314">
        <v>3</v>
      </c>
      <c r="L120" s="41"/>
      <c r="M120" s="97">
        <f>1491-187</f>
        <v>1304</v>
      </c>
      <c r="N120" s="97">
        <f>3102-436</f>
        <v>2666</v>
      </c>
      <c r="O120" s="171">
        <f t="shared" si="5"/>
        <v>3970</v>
      </c>
      <c r="P120" s="41"/>
      <c r="Q120" s="97">
        <f>1491-187</f>
        <v>1304</v>
      </c>
      <c r="R120" s="97">
        <f>3102-436</f>
        <v>2666</v>
      </c>
      <c r="S120" s="171">
        <f t="shared" si="6"/>
        <v>3970</v>
      </c>
      <c r="T120" s="41"/>
      <c r="U120" s="79">
        <f t="shared" si="10"/>
        <v>2608</v>
      </c>
      <c r="V120" s="79">
        <f t="shared" si="10"/>
        <v>5332</v>
      </c>
      <c r="W120" s="171">
        <f t="shared" si="9"/>
        <v>7940</v>
      </c>
    </row>
    <row r="121" spans="1:23" ht="29.25">
      <c r="A121" s="233" t="s">
        <v>7</v>
      </c>
      <c r="B121" s="60" t="s">
        <v>1282</v>
      </c>
      <c r="C121" s="52" t="s">
        <v>440</v>
      </c>
      <c r="D121" s="52" t="s">
        <v>289</v>
      </c>
      <c r="E121" s="56" t="s">
        <v>2179</v>
      </c>
      <c r="F121" s="51" t="s">
        <v>418</v>
      </c>
      <c r="G121" s="51" t="s">
        <v>416</v>
      </c>
      <c r="H121" s="302" t="s">
        <v>2180</v>
      </c>
      <c r="I121" s="573">
        <v>91302773</v>
      </c>
      <c r="J121" s="136" t="s">
        <v>12</v>
      </c>
      <c r="K121" s="76">
        <v>7</v>
      </c>
      <c r="L121" s="91"/>
      <c r="M121" s="12">
        <f>71*14</f>
        <v>994</v>
      </c>
      <c r="N121" s="580">
        <f>500*14</f>
        <v>7000</v>
      </c>
      <c r="O121" s="171">
        <f t="shared" si="5"/>
        <v>7994</v>
      </c>
      <c r="P121" s="91"/>
      <c r="Q121" s="12">
        <f>71*14</f>
        <v>994</v>
      </c>
      <c r="R121" s="580">
        <f>500*14</f>
        <v>7000</v>
      </c>
      <c r="S121" s="171">
        <f t="shared" si="6"/>
        <v>7994</v>
      </c>
      <c r="T121" s="91"/>
      <c r="U121" s="79">
        <f t="shared" si="10"/>
        <v>1988</v>
      </c>
      <c r="V121" s="79">
        <f t="shared" si="10"/>
        <v>14000</v>
      </c>
      <c r="W121" s="171">
        <f t="shared" si="9"/>
        <v>15988</v>
      </c>
    </row>
    <row r="122" spans="1:23" ht="30" thickBot="1">
      <c r="A122" s="233" t="s">
        <v>7</v>
      </c>
      <c r="B122" s="42" t="s">
        <v>2193</v>
      </c>
      <c r="C122" s="56" t="s">
        <v>1653</v>
      </c>
      <c r="D122" s="51"/>
      <c r="E122" s="71"/>
      <c r="F122" s="51" t="s">
        <v>159</v>
      </c>
      <c r="G122" s="56" t="s">
        <v>158</v>
      </c>
      <c r="H122" s="302" t="s">
        <v>2237</v>
      </c>
      <c r="I122" s="42">
        <v>94806881</v>
      </c>
      <c r="J122" s="336" t="s">
        <v>12</v>
      </c>
      <c r="K122" s="76">
        <v>2</v>
      </c>
      <c r="L122" s="91"/>
      <c r="M122" s="12">
        <f>302-23</f>
        <v>279</v>
      </c>
      <c r="N122" s="12">
        <f>653-0</f>
        <v>653</v>
      </c>
      <c r="O122" s="171">
        <f t="shared" si="5"/>
        <v>932</v>
      </c>
      <c r="P122" s="91"/>
      <c r="Q122" s="12">
        <f>302-23</f>
        <v>279</v>
      </c>
      <c r="R122" s="12">
        <f>653-0</f>
        <v>653</v>
      </c>
      <c r="S122" s="171">
        <f t="shared" si="6"/>
        <v>932</v>
      </c>
      <c r="T122" s="91"/>
      <c r="U122" s="79">
        <f t="shared" si="10"/>
        <v>558</v>
      </c>
      <c r="V122" s="79">
        <f t="shared" si="10"/>
        <v>1306</v>
      </c>
      <c r="W122" s="171">
        <f t="shared" si="9"/>
        <v>1864</v>
      </c>
    </row>
    <row r="123" spans="2:23" ht="15">
      <c r="B123" s="423" t="s">
        <v>150</v>
      </c>
      <c r="C123" s="249" t="s">
        <v>513</v>
      </c>
      <c r="D123" s="419"/>
      <c r="H123" s="410" t="s">
        <v>2030</v>
      </c>
      <c r="I123" s="32" t="s">
        <v>513</v>
      </c>
      <c r="L123" s="2"/>
      <c r="M123" s="2"/>
      <c r="N123" s="12" t="s">
        <v>151</v>
      </c>
      <c r="O123" s="235">
        <f>SUM(O18:O122)</f>
        <v>687871</v>
      </c>
      <c r="P123" s="2"/>
      <c r="Q123" s="2"/>
      <c r="R123" s="12" t="s">
        <v>151</v>
      </c>
      <c r="S123" s="235">
        <f>SUM(S18:S122)</f>
        <v>687871</v>
      </c>
      <c r="T123" s="2"/>
      <c r="U123" s="2"/>
      <c r="V123" s="12" t="s">
        <v>151</v>
      </c>
      <c r="W123" s="235">
        <f>SUM(W18:W122)</f>
        <v>1375742</v>
      </c>
    </row>
    <row r="124" spans="2:15" ht="15">
      <c r="B124" s="425"/>
      <c r="C124" s="72" t="s">
        <v>514</v>
      </c>
      <c r="D124" s="420"/>
      <c r="H124" s="254"/>
      <c r="I124" s="36" t="s">
        <v>514</v>
      </c>
      <c r="L124" s="2"/>
      <c r="M124" s="2"/>
      <c r="N124" s="2"/>
      <c r="O124" s="2"/>
    </row>
    <row r="125" spans="2:15" ht="15.75" thickBot="1">
      <c r="B125" s="425"/>
      <c r="C125" s="72" t="s">
        <v>515</v>
      </c>
      <c r="D125" s="420"/>
      <c r="H125" s="268"/>
      <c r="I125" s="39" t="s">
        <v>515</v>
      </c>
      <c r="L125" s="2"/>
      <c r="M125" s="2"/>
      <c r="N125" s="2"/>
      <c r="O125" s="2"/>
    </row>
    <row r="126" spans="2:4" ht="15">
      <c r="B126" s="425" t="s">
        <v>1640</v>
      </c>
      <c r="C126" s="426">
        <v>8222146636</v>
      </c>
      <c r="D126" s="420"/>
    </row>
    <row r="127" spans="2:4" ht="15.75" thickBot="1">
      <c r="B127" s="427" t="s">
        <v>1644</v>
      </c>
      <c r="C127" s="73" t="s">
        <v>1662</v>
      </c>
      <c r="D127" s="421"/>
    </row>
    <row r="128" spans="2:13" ht="15">
      <c r="B128" s="236"/>
      <c r="C128" s="64"/>
      <c r="D128" s="64"/>
      <c r="E128" s="80"/>
      <c r="J128" s="351"/>
      <c r="L128" s="54"/>
      <c r="M128" s="2"/>
    </row>
    <row r="129" spans="10:13" ht="14.25">
      <c r="J129" s="355"/>
      <c r="L129" s="54"/>
      <c r="M129" s="2"/>
    </row>
    <row r="130" spans="10:13" ht="14.25">
      <c r="J130" s="355"/>
      <c r="L130" s="54"/>
      <c r="M130" s="2"/>
    </row>
    <row r="131" spans="10:13" ht="14.25">
      <c r="J131" s="355"/>
      <c r="L131" s="54"/>
      <c r="M131" s="2"/>
    </row>
    <row r="132" spans="2:13" ht="15">
      <c r="B132" s="236"/>
      <c r="C132" s="64"/>
      <c r="D132" s="64"/>
      <c r="E132" s="80"/>
      <c r="J132" s="351"/>
      <c r="L132" s="54" t="s">
        <v>155</v>
      </c>
      <c r="M132" s="2">
        <f>W123</f>
        <v>1375742</v>
      </c>
    </row>
    <row r="133" spans="2:5" ht="15.75" thickBot="1">
      <c r="B133" s="167"/>
      <c r="C133" s="63"/>
      <c r="D133" s="167"/>
      <c r="E133" s="80"/>
    </row>
    <row r="134" spans="6:18" ht="44.25" customHeight="1">
      <c r="F134" s="29"/>
      <c r="G134" s="146"/>
      <c r="H134" s="146"/>
      <c r="J134" s="198"/>
      <c r="K134" s="772" t="s">
        <v>152</v>
      </c>
      <c r="L134" s="774" t="s">
        <v>2257</v>
      </c>
      <c r="M134" s="775"/>
      <c r="N134" s="776"/>
      <c r="O134" s="768" t="s">
        <v>153</v>
      </c>
      <c r="P134" s="2"/>
      <c r="Q134" s="2"/>
      <c r="R134" s="2"/>
    </row>
    <row r="135" spans="6:18" ht="21.75" customHeight="1" thickBot="1">
      <c r="F135" s="29"/>
      <c r="G135" s="195"/>
      <c r="H135" s="195"/>
      <c r="J135" s="196"/>
      <c r="K135" s="773"/>
      <c r="L135" s="115" t="s">
        <v>154</v>
      </c>
      <c r="M135" s="115" t="s">
        <v>1017</v>
      </c>
      <c r="N135" s="115" t="s">
        <v>1018</v>
      </c>
      <c r="O135" s="769"/>
      <c r="P135" s="2"/>
      <c r="Q135" s="2"/>
      <c r="R135" s="2"/>
    </row>
    <row r="136" spans="6:15" ht="22.5" customHeight="1">
      <c r="F136" s="29"/>
      <c r="G136" s="128"/>
      <c r="H136" s="128"/>
      <c r="J136" s="135"/>
      <c r="K136" s="699" t="s">
        <v>12</v>
      </c>
      <c r="L136" s="276"/>
      <c r="M136" s="598">
        <f>SUM(U117:U122)</f>
        <v>14596</v>
      </c>
      <c r="N136" s="598">
        <f>SUM(V117:V122)</f>
        <v>39444</v>
      </c>
      <c r="O136" s="599">
        <v>6</v>
      </c>
    </row>
    <row r="137" spans="6:15" ht="22.5" customHeight="1" thickBot="1">
      <c r="F137" s="29"/>
      <c r="G137" s="128"/>
      <c r="H137" s="128"/>
      <c r="I137" s="277"/>
      <c r="J137" s="135"/>
      <c r="K137" s="700" t="s">
        <v>364</v>
      </c>
      <c r="L137" s="118"/>
      <c r="M137" s="583">
        <f>SUM(U18:U116)</f>
        <v>442856</v>
      </c>
      <c r="N137" s="583">
        <f>SUM(V18:V116)</f>
        <v>878846</v>
      </c>
      <c r="O137" s="689">
        <v>99</v>
      </c>
    </row>
    <row r="138" spans="6:15" ht="15" thickBot="1">
      <c r="F138" s="29"/>
      <c r="G138" s="29"/>
      <c r="H138" s="29"/>
      <c r="J138" s="135"/>
      <c r="K138" s="697" t="s">
        <v>155</v>
      </c>
      <c r="L138" s="120">
        <f>SUM(L136:L137)</f>
        <v>0</v>
      </c>
      <c r="M138" s="16">
        <f>SUM(M136:M137)</f>
        <v>457452</v>
      </c>
      <c r="N138" s="16">
        <f>SUM(N136:N137)</f>
        <v>918290</v>
      </c>
      <c r="O138" s="278">
        <f>SUM(O136:O137)</f>
        <v>105</v>
      </c>
    </row>
    <row r="139" spans="6:15" ht="18.75" thickBot="1">
      <c r="F139" s="29"/>
      <c r="G139" s="29"/>
      <c r="H139" s="29"/>
      <c r="I139" s="29"/>
      <c r="J139" s="82"/>
      <c r="L139" s="18" t="s">
        <v>156</v>
      </c>
      <c r="M139" s="273">
        <f>SUM(L138:N138)</f>
        <v>1375742</v>
      </c>
      <c r="N139" s="2"/>
      <c r="O139" s="2"/>
    </row>
  </sheetData>
  <sheetProtection/>
  <mergeCells count="23">
    <mergeCell ref="B1:L1"/>
    <mergeCell ref="L15:O15"/>
    <mergeCell ref="L16:O16"/>
    <mergeCell ref="B3:I3"/>
    <mergeCell ref="B5:I5"/>
    <mergeCell ref="E15:E17"/>
    <mergeCell ref="K15:K17"/>
    <mergeCell ref="K134:K135"/>
    <mergeCell ref="L134:N134"/>
    <mergeCell ref="P15:S15"/>
    <mergeCell ref="T15:W15"/>
    <mergeCell ref="P16:S16"/>
    <mergeCell ref="T16:W16"/>
    <mergeCell ref="O134:O135"/>
    <mergeCell ref="A15:A17"/>
    <mergeCell ref="B15:B17"/>
    <mergeCell ref="C15:C17"/>
    <mergeCell ref="D15:D17"/>
    <mergeCell ref="J15:J17"/>
    <mergeCell ref="H15:H17"/>
    <mergeCell ref="F15:F17"/>
    <mergeCell ref="G15:G17"/>
    <mergeCell ref="I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7"/>
  <sheetViews>
    <sheetView zoomScale="70" zoomScaleNormal="70" zoomScalePageLayoutView="0" workbookViewId="0" topLeftCell="I96">
      <selection activeCell="W106" sqref="W106"/>
    </sheetView>
  </sheetViews>
  <sheetFormatPr defaultColWidth="8.796875" defaultRowHeight="14.25"/>
  <cols>
    <col min="1" max="1" width="11.5" style="0" customWidth="1"/>
    <col min="2" max="2" width="15.09765625" style="0" customWidth="1"/>
    <col min="3" max="3" width="18.09765625" style="0" customWidth="1"/>
    <col min="4" max="4" width="11.3984375" style="0" customWidth="1"/>
    <col min="6" max="6" width="11.19921875" style="0" customWidth="1"/>
    <col min="7" max="7" width="18.19921875" style="0" customWidth="1"/>
    <col min="8" max="8" width="25.69921875" style="0" customWidth="1"/>
    <col min="9" max="9" width="17.8984375" style="0" customWidth="1"/>
    <col min="10" max="10" width="12.5" style="0" customWidth="1"/>
    <col min="11" max="11" width="13.59765625" style="0" customWidth="1"/>
    <col min="12" max="12" width="14.3984375" style="0" customWidth="1"/>
    <col min="13" max="13" width="15" style="0" customWidth="1"/>
    <col min="14" max="14" width="18.5" style="0" customWidth="1"/>
    <col min="15" max="15" width="15.8984375" style="0" customWidth="1"/>
    <col min="16" max="16" width="12.59765625" style="0" customWidth="1"/>
    <col min="17" max="17" width="15.19921875" style="0" customWidth="1"/>
    <col min="18" max="18" width="14.59765625" style="0" customWidth="1"/>
    <col min="19" max="19" width="21.5" style="0" customWidth="1"/>
    <col min="20" max="20" width="22.59765625" style="0" customWidth="1"/>
    <col min="21" max="21" width="28.8984375" style="0" customWidth="1"/>
    <col min="22" max="22" width="16.69921875" style="0" customWidth="1"/>
    <col min="23" max="23" width="14" style="0" customWidth="1"/>
  </cols>
  <sheetData>
    <row r="1" spans="2:12" ht="18"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2:10" ht="15">
      <c r="B2" s="182"/>
      <c r="C2" s="182"/>
      <c r="D2" s="182"/>
      <c r="E2" s="182"/>
      <c r="F2" s="182"/>
      <c r="G2" s="182"/>
      <c r="H2" s="184"/>
      <c r="I2" s="182"/>
      <c r="J2" s="182"/>
    </row>
    <row r="3" spans="2:10" ht="26.25" customHeight="1">
      <c r="B3" s="782" t="s">
        <v>1030</v>
      </c>
      <c r="C3" s="783"/>
      <c r="D3" s="783"/>
      <c r="E3" s="783"/>
      <c r="F3" s="783"/>
      <c r="G3" s="783"/>
      <c r="H3" s="783"/>
      <c r="I3" s="784"/>
      <c r="J3" s="182"/>
    </row>
    <row r="4" spans="2:10" ht="15">
      <c r="B4" s="183"/>
      <c r="C4" s="183"/>
      <c r="D4" s="183"/>
      <c r="E4" s="183"/>
      <c r="F4" s="183"/>
      <c r="G4" s="183"/>
      <c r="H4" s="184"/>
      <c r="I4" s="182"/>
      <c r="J4" s="182"/>
    </row>
    <row r="5" spans="2:10" ht="15">
      <c r="B5" s="755" t="s">
        <v>1012</v>
      </c>
      <c r="C5" s="755"/>
      <c r="D5" s="755"/>
      <c r="E5" s="755"/>
      <c r="F5" s="755"/>
      <c r="G5" s="755"/>
      <c r="H5" s="755"/>
      <c r="I5" s="755"/>
      <c r="J5" s="182"/>
    </row>
    <row r="6" spans="2:10" ht="15">
      <c r="B6" s="183"/>
      <c r="C6" s="183"/>
      <c r="D6" s="183"/>
      <c r="E6" s="183"/>
      <c r="F6" s="183"/>
      <c r="G6" s="183"/>
      <c r="H6" s="184"/>
      <c r="I6" s="182"/>
      <c r="J6" s="182"/>
    </row>
    <row r="7" spans="2:10" ht="15.75">
      <c r="B7" s="383" t="s">
        <v>950</v>
      </c>
      <c r="C7" s="182"/>
      <c r="D7" s="183"/>
      <c r="E7" s="183"/>
      <c r="F7" s="183"/>
      <c r="G7" s="182"/>
      <c r="H7" s="184"/>
      <c r="I7" s="182"/>
      <c r="J7" s="182"/>
    </row>
    <row r="8" spans="2:10" ht="15.75">
      <c r="B8" s="383" t="s">
        <v>2031</v>
      </c>
      <c r="C8" s="182"/>
      <c r="D8" s="183"/>
      <c r="E8" s="183"/>
      <c r="F8" s="183"/>
      <c r="G8" s="182"/>
      <c r="H8" s="184"/>
      <c r="I8" s="182"/>
      <c r="J8" s="182"/>
    </row>
    <row r="9" spans="2:15" ht="15.75"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2:10" ht="15.75"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</row>
    <row r="11" spans="2:10" ht="15"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</row>
    <row r="12" spans="2:10" ht="15.75">
      <c r="B12" s="188"/>
      <c r="C12" s="189"/>
      <c r="D12" s="187"/>
      <c r="E12" s="187"/>
      <c r="F12" s="187"/>
      <c r="G12" s="187"/>
      <c r="H12" s="29"/>
      <c r="I12" s="182"/>
      <c r="J12" s="182"/>
    </row>
    <row r="13" spans="2:10" ht="15.75">
      <c r="B13" s="188" t="s">
        <v>1015</v>
      </c>
      <c r="C13" s="185" t="s">
        <v>1016</v>
      </c>
      <c r="D13" s="187"/>
      <c r="E13" s="187"/>
      <c r="F13" s="187"/>
      <c r="G13" s="187"/>
      <c r="H13" s="494"/>
      <c r="I13" s="182"/>
      <c r="J13" s="182"/>
    </row>
    <row r="14" ht="15" thickBot="1"/>
    <row r="15" spans="1:23" ht="45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95" t="s">
        <v>738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0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6.7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>
      <c r="A18" s="234" t="s">
        <v>7</v>
      </c>
      <c r="B18" s="56" t="s">
        <v>157</v>
      </c>
      <c r="C18" s="370" t="s">
        <v>93</v>
      </c>
      <c r="D18" s="370"/>
      <c r="E18" s="374"/>
      <c r="F18" s="375" t="s">
        <v>516</v>
      </c>
      <c r="G18" s="370" t="s">
        <v>517</v>
      </c>
      <c r="H18" s="302" t="s">
        <v>518</v>
      </c>
      <c r="I18" s="370">
        <v>91423903</v>
      </c>
      <c r="J18" s="335" t="s">
        <v>149</v>
      </c>
      <c r="K18" s="314">
        <v>1.8</v>
      </c>
      <c r="L18" s="28">
        <f>146-108</f>
        <v>38</v>
      </c>
      <c r="M18" s="41"/>
      <c r="N18" s="41"/>
      <c r="O18" s="81">
        <f>L18</f>
        <v>38</v>
      </c>
      <c r="P18" s="28">
        <f>146-108</f>
        <v>38</v>
      </c>
      <c r="Q18" s="41"/>
      <c r="R18" s="41"/>
      <c r="S18" s="81">
        <f>P18</f>
        <v>38</v>
      </c>
      <c r="T18" s="28">
        <f>O18+P18</f>
        <v>76</v>
      </c>
      <c r="U18" s="41"/>
      <c r="V18" s="41"/>
      <c r="W18" s="81">
        <f>T18</f>
        <v>76</v>
      </c>
    </row>
    <row r="19" spans="1:23" ht="29.25">
      <c r="A19" s="234" t="s">
        <v>7</v>
      </c>
      <c r="B19" s="56" t="s">
        <v>157</v>
      </c>
      <c r="C19" s="370" t="s">
        <v>519</v>
      </c>
      <c r="D19" s="370"/>
      <c r="E19" s="370"/>
      <c r="F19" s="375" t="s">
        <v>516</v>
      </c>
      <c r="G19" s="370" t="s">
        <v>517</v>
      </c>
      <c r="H19" s="302" t="s">
        <v>520</v>
      </c>
      <c r="I19" s="370">
        <v>83426448</v>
      </c>
      <c r="J19" s="335" t="s">
        <v>149</v>
      </c>
      <c r="K19" s="314">
        <v>1.1</v>
      </c>
      <c r="L19" s="28">
        <f>13186-11710</f>
        <v>1476</v>
      </c>
      <c r="M19" s="41"/>
      <c r="N19" s="41"/>
      <c r="O19" s="81">
        <f aca="true" t="shared" si="0" ref="O19:O82">L19</f>
        <v>1476</v>
      </c>
      <c r="P19" s="28">
        <f>13186-11710</f>
        <v>1476</v>
      </c>
      <c r="Q19" s="41"/>
      <c r="R19" s="41"/>
      <c r="S19" s="81">
        <f aca="true" t="shared" si="1" ref="S19:S82">P19</f>
        <v>1476</v>
      </c>
      <c r="T19" s="28">
        <f aca="true" t="shared" si="2" ref="T19:T82">O19+P19</f>
        <v>2952</v>
      </c>
      <c r="U19" s="41"/>
      <c r="V19" s="41"/>
      <c r="W19" s="81">
        <f aca="true" t="shared" si="3" ref="W19:W82">T19</f>
        <v>2952</v>
      </c>
    </row>
    <row r="20" spans="1:23" ht="29.25">
      <c r="A20" s="234" t="s">
        <v>7</v>
      </c>
      <c r="B20" s="56" t="s">
        <v>157</v>
      </c>
      <c r="C20" s="370" t="s">
        <v>521</v>
      </c>
      <c r="D20" s="370"/>
      <c r="E20" s="370"/>
      <c r="F20" s="375" t="s">
        <v>516</v>
      </c>
      <c r="G20" s="370" t="s">
        <v>517</v>
      </c>
      <c r="H20" s="302" t="s">
        <v>522</v>
      </c>
      <c r="I20" s="370">
        <v>83426421</v>
      </c>
      <c r="J20" s="335" t="s">
        <v>149</v>
      </c>
      <c r="K20" s="314">
        <v>1.4</v>
      </c>
      <c r="L20" s="28">
        <f>34334-28154</f>
        <v>6180</v>
      </c>
      <c r="M20" s="41"/>
      <c r="N20" s="41"/>
      <c r="O20" s="81">
        <f t="shared" si="0"/>
        <v>6180</v>
      </c>
      <c r="P20" s="28">
        <f>34334-28154</f>
        <v>6180</v>
      </c>
      <c r="Q20" s="41"/>
      <c r="R20" s="41"/>
      <c r="S20" s="81">
        <f t="shared" si="1"/>
        <v>6180</v>
      </c>
      <c r="T20" s="28">
        <f t="shared" si="2"/>
        <v>12360</v>
      </c>
      <c r="U20" s="41"/>
      <c r="V20" s="41"/>
      <c r="W20" s="81">
        <f t="shared" si="3"/>
        <v>12360</v>
      </c>
    </row>
    <row r="21" spans="1:23" ht="29.25">
      <c r="A21" s="234" t="s">
        <v>7</v>
      </c>
      <c r="B21" s="56" t="s">
        <v>157</v>
      </c>
      <c r="C21" s="370" t="s">
        <v>523</v>
      </c>
      <c r="D21" s="376"/>
      <c r="E21" s="370"/>
      <c r="F21" s="375" t="s">
        <v>516</v>
      </c>
      <c r="G21" s="370" t="s">
        <v>517</v>
      </c>
      <c r="H21" s="302" t="s">
        <v>524</v>
      </c>
      <c r="I21" s="370">
        <v>83990765</v>
      </c>
      <c r="J21" s="335" t="s">
        <v>149</v>
      </c>
      <c r="K21" s="314">
        <v>1.5</v>
      </c>
      <c r="L21" s="28">
        <f>28645-20620</f>
        <v>8025</v>
      </c>
      <c r="M21" s="41"/>
      <c r="N21" s="41"/>
      <c r="O21" s="81">
        <f t="shared" si="0"/>
        <v>8025</v>
      </c>
      <c r="P21" s="28">
        <f>28645-20620</f>
        <v>8025</v>
      </c>
      <c r="Q21" s="41"/>
      <c r="R21" s="41"/>
      <c r="S21" s="81">
        <f t="shared" si="1"/>
        <v>8025</v>
      </c>
      <c r="T21" s="28">
        <f t="shared" si="2"/>
        <v>16050</v>
      </c>
      <c r="U21" s="41"/>
      <c r="V21" s="41"/>
      <c r="W21" s="81">
        <f t="shared" si="3"/>
        <v>16050</v>
      </c>
    </row>
    <row r="22" spans="1:23" ht="29.25">
      <c r="A22" s="234" t="s">
        <v>7</v>
      </c>
      <c r="B22" s="56" t="s">
        <v>157</v>
      </c>
      <c r="C22" s="370" t="s">
        <v>525</v>
      </c>
      <c r="D22" s="376"/>
      <c r="E22" s="370"/>
      <c r="F22" s="375" t="s">
        <v>516</v>
      </c>
      <c r="G22" s="370" t="s">
        <v>517</v>
      </c>
      <c r="H22" s="302" t="s">
        <v>526</v>
      </c>
      <c r="I22" s="370">
        <v>83426427</v>
      </c>
      <c r="J22" s="335" t="s">
        <v>149</v>
      </c>
      <c r="K22" s="314">
        <v>1.5</v>
      </c>
      <c r="L22" s="28">
        <f>21267-18394</f>
        <v>2873</v>
      </c>
      <c r="M22" s="41"/>
      <c r="N22" s="41"/>
      <c r="O22" s="81">
        <f t="shared" si="0"/>
        <v>2873</v>
      </c>
      <c r="P22" s="28">
        <f>21267-18394</f>
        <v>2873</v>
      </c>
      <c r="Q22" s="41"/>
      <c r="R22" s="41"/>
      <c r="S22" s="81">
        <f t="shared" si="1"/>
        <v>2873</v>
      </c>
      <c r="T22" s="28">
        <f t="shared" si="2"/>
        <v>5746</v>
      </c>
      <c r="U22" s="41"/>
      <c r="V22" s="41"/>
      <c r="W22" s="81">
        <f t="shared" si="3"/>
        <v>5746</v>
      </c>
    </row>
    <row r="23" spans="1:23" ht="29.25">
      <c r="A23" s="234" t="s">
        <v>7</v>
      </c>
      <c r="B23" s="56" t="s">
        <v>157</v>
      </c>
      <c r="C23" s="370" t="s">
        <v>527</v>
      </c>
      <c r="D23" s="376"/>
      <c r="E23" s="370"/>
      <c r="F23" s="375" t="s">
        <v>516</v>
      </c>
      <c r="G23" s="370" t="s">
        <v>517</v>
      </c>
      <c r="H23" s="302" t="s">
        <v>528</v>
      </c>
      <c r="I23" s="370">
        <v>83426550</v>
      </c>
      <c r="J23" s="335" t="s">
        <v>149</v>
      </c>
      <c r="K23" s="314">
        <v>0.6</v>
      </c>
      <c r="L23" s="28">
        <f>15758-13080</f>
        <v>2678</v>
      </c>
      <c r="M23" s="41"/>
      <c r="N23" s="41"/>
      <c r="O23" s="81">
        <f t="shared" si="0"/>
        <v>2678</v>
      </c>
      <c r="P23" s="28">
        <f>15758-13080</f>
        <v>2678</v>
      </c>
      <c r="Q23" s="41"/>
      <c r="R23" s="41"/>
      <c r="S23" s="81">
        <f t="shared" si="1"/>
        <v>2678</v>
      </c>
      <c r="T23" s="28">
        <f t="shared" si="2"/>
        <v>5356</v>
      </c>
      <c r="U23" s="41"/>
      <c r="V23" s="41"/>
      <c r="W23" s="81">
        <f t="shared" si="3"/>
        <v>5356</v>
      </c>
    </row>
    <row r="24" spans="1:23" ht="29.25">
      <c r="A24" s="234" t="s">
        <v>7</v>
      </c>
      <c r="B24" s="56" t="s">
        <v>157</v>
      </c>
      <c r="C24" s="370" t="s">
        <v>519</v>
      </c>
      <c r="D24" s="376"/>
      <c r="E24" s="370"/>
      <c r="F24" s="375" t="s">
        <v>516</v>
      </c>
      <c r="G24" s="370" t="s">
        <v>517</v>
      </c>
      <c r="H24" s="302" t="s">
        <v>1297</v>
      </c>
      <c r="I24" s="370">
        <v>83426397</v>
      </c>
      <c r="J24" s="335" t="s">
        <v>149</v>
      </c>
      <c r="K24" s="314">
        <v>0.5</v>
      </c>
      <c r="L24" s="28">
        <f>7765-7229</f>
        <v>536</v>
      </c>
      <c r="M24" s="41"/>
      <c r="N24" s="41"/>
      <c r="O24" s="81">
        <f t="shared" si="0"/>
        <v>536</v>
      </c>
      <c r="P24" s="28">
        <f>7765-7229</f>
        <v>536</v>
      </c>
      <c r="Q24" s="41"/>
      <c r="R24" s="41"/>
      <c r="S24" s="81">
        <f t="shared" si="1"/>
        <v>536</v>
      </c>
      <c r="T24" s="28">
        <f t="shared" si="2"/>
        <v>1072</v>
      </c>
      <c r="U24" s="41"/>
      <c r="V24" s="41"/>
      <c r="W24" s="81">
        <f t="shared" si="3"/>
        <v>1072</v>
      </c>
    </row>
    <row r="25" spans="1:23" ht="29.25">
      <c r="A25" s="234" t="s">
        <v>7</v>
      </c>
      <c r="B25" s="56" t="s">
        <v>157</v>
      </c>
      <c r="C25" s="370" t="s">
        <v>517</v>
      </c>
      <c r="D25" s="376" t="s">
        <v>529</v>
      </c>
      <c r="E25" s="370">
        <v>22</v>
      </c>
      <c r="F25" s="375" t="s">
        <v>516</v>
      </c>
      <c r="G25" s="370" t="s">
        <v>517</v>
      </c>
      <c r="H25" s="302" t="s">
        <v>530</v>
      </c>
      <c r="I25" s="370">
        <v>83426197</v>
      </c>
      <c r="J25" s="335" t="s">
        <v>149</v>
      </c>
      <c r="K25" s="314">
        <v>2.2</v>
      </c>
      <c r="L25" s="28">
        <f>27703-26822</f>
        <v>881</v>
      </c>
      <c r="M25" s="41"/>
      <c r="N25" s="41"/>
      <c r="O25" s="81">
        <f t="shared" si="0"/>
        <v>881</v>
      </c>
      <c r="P25" s="28">
        <f>27703-26822</f>
        <v>881</v>
      </c>
      <c r="Q25" s="41"/>
      <c r="R25" s="41"/>
      <c r="S25" s="81">
        <f t="shared" si="1"/>
        <v>881</v>
      </c>
      <c r="T25" s="28">
        <f t="shared" si="2"/>
        <v>1762</v>
      </c>
      <c r="U25" s="41"/>
      <c r="V25" s="41"/>
      <c r="W25" s="81">
        <f t="shared" si="3"/>
        <v>1762</v>
      </c>
    </row>
    <row r="26" spans="1:23" ht="29.25">
      <c r="A26" s="234" t="s">
        <v>7</v>
      </c>
      <c r="B26" s="56" t="s">
        <v>157</v>
      </c>
      <c r="C26" s="370" t="s">
        <v>517</v>
      </c>
      <c r="D26" s="376" t="s">
        <v>529</v>
      </c>
      <c r="E26" s="370">
        <v>44</v>
      </c>
      <c r="F26" s="375" t="s">
        <v>516</v>
      </c>
      <c r="G26" s="370" t="s">
        <v>517</v>
      </c>
      <c r="H26" s="302" t="s">
        <v>531</v>
      </c>
      <c r="I26" s="370">
        <v>83426543</v>
      </c>
      <c r="J26" s="335" t="s">
        <v>149</v>
      </c>
      <c r="K26" s="314">
        <v>1.1</v>
      </c>
      <c r="L26" s="28">
        <f>21067-16641</f>
        <v>4426</v>
      </c>
      <c r="M26" s="41"/>
      <c r="N26" s="41"/>
      <c r="O26" s="81">
        <f t="shared" si="0"/>
        <v>4426</v>
      </c>
      <c r="P26" s="28">
        <f>21067-16641</f>
        <v>4426</v>
      </c>
      <c r="Q26" s="41"/>
      <c r="R26" s="41"/>
      <c r="S26" s="81">
        <f t="shared" si="1"/>
        <v>4426</v>
      </c>
      <c r="T26" s="28">
        <f t="shared" si="2"/>
        <v>8852</v>
      </c>
      <c r="U26" s="41"/>
      <c r="V26" s="41"/>
      <c r="W26" s="81">
        <f t="shared" si="3"/>
        <v>8852</v>
      </c>
    </row>
    <row r="27" spans="1:23" ht="29.25">
      <c r="A27" s="234" t="s">
        <v>7</v>
      </c>
      <c r="B27" s="56" t="s">
        <v>157</v>
      </c>
      <c r="C27" s="370" t="s">
        <v>517</v>
      </c>
      <c r="D27" s="376" t="s">
        <v>532</v>
      </c>
      <c r="E27" s="370">
        <v>1</v>
      </c>
      <c r="F27" s="375" t="s">
        <v>516</v>
      </c>
      <c r="G27" s="370" t="s">
        <v>517</v>
      </c>
      <c r="H27" s="302" t="s">
        <v>533</v>
      </c>
      <c r="I27" s="519">
        <v>90694310</v>
      </c>
      <c r="J27" s="335" t="s">
        <v>149</v>
      </c>
      <c r="K27" s="314">
        <v>4.5</v>
      </c>
      <c r="L27" s="28">
        <f>59531-46341</f>
        <v>13190</v>
      </c>
      <c r="M27" s="41"/>
      <c r="N27" s="41"/>
      <c r="O27" s="81">
        <f t="shared" si="0"/>
        <v>13190</v>
      </c>
      <c r="P27" s="28">
        <f>59531-46341</f>
        <v>13190</v>
      </c>
      <c r="Q27" s="41"/>
      <c r="R27" s="41"/>
      <c r="S27" s="81">
        <f t="shared" si="1"/>
        <v>13190</v>
      </c>
      <c r="T27" s="28">
        <f t="shared" si="2"/>
        <v>26380</v>
      </c>
      <c r="U27" s="41"/>
      <c r="V27" s="41"/>
      <c r="W27" s="81">
        <f t="shared" si="3"/>
        <v>26380</v>
      </c>
    </row>
    <row r="28" spans="1:23" ht="45.75">
      <c r="A28" s="234" t="s">
        <v>7</v>
      </c>
      <c r="B28" s="56" t="s">
        <v>157</v>
      </c>
      <c r="C28" s="370" t="s">
        <v>517</v>
      </c>
      <c r="D28" s="376" t="s">
        <v>1663</v>
      </c>
      <c r="E28" s="370">
        <v>6</v>
      </c>
      <c r="F28" s="375" t="s">
        <v>516</v>
      </c>
      <c r="G28" s="370" t="s">
        <v>517</v>
      </c>
      <c r="H28" s="302" t="s">
        <v>534</v>
      </c>
      <c r="I28" s="370">
        <v>94964726</v>
      </c>
      <c r="J28" s="335" t="s">
        <v>149</v>
      </c>
      <c r="K28" s="314">
        <v>3</v>
      </c>
      <c r="L28" s="28">
        <f>58669-48707</f>
        <v>9962</v>
      </c>
      <c r="M28" s="41"/>
      <c r="N28" s="41"/>
      <c r="O28" s="81">
        <f t="shared" si="0"/>
        <v>9962</v>
      </c>
      <c r="P28" s="28">
        <f>58669-48707</f>
        <v>9962</v>
      </c>
      <c r="Q28" s="41"/>
      <c r="R28" s="41"/>
      <c r="S28" s="81">
        <f t="shared" si="1"/>
        <v>9962</v>
      </c>
      <c r="T28" s="28">
        <f t="shared" si="2"/>
        <v>19924</v>
      </c>
      <c r="U28" s="41"/>
      <c r="V28" s="41"/>
      <c r="W28" s="81">
        <f t="shared" si="3"/>
        <v>19924</v>
      </c>
    </row>
    <row r="29" spans="1:23" ht="29.25">
      <c r="A29" s="234" t="s">
        <v>7</v>
      </c>
      <c r="B29" s="56" t="s">
        <v>157</v>
      </c>
      <c r="C29" s="370" t="s">
        <v>517</v>
      </c>
      <c r="D29" s="376" t="s">
        <v>535</v>
      </c>
      <c r="E29" s="370">
        <v>41</v>
      </c>
      <c r="F29" s="375" t="s">
        <v>516</v>
      </c>
      <c r="G29" s="370" t="s">
        <v>517</v>
      </c>
      <c r="H29" s="302" t="s">
        <v>536</v>
      </c>
      <c r="I29" s="370">
        <v>83426011</v>
      </c>
      <c r="J29" s="335" t="s">
        <v>149</v>
      </c>
      <c r="K29" s="314">
        <v>0.4</v>
      </c>
      <c r="L29" s="28">
        <f>17637-14251</f>
        <v>3386</v>
      </c>
      <c r="M29" s="41"/>
      <c r="N29" s="41"/>
      <c r="O29" s="81">
        <f t="shared" si="0"/>
        <v>3386</v>
      </c>
      <c r="P29" s="28">
        <f>17637-14251</f>
        <v>3386</v>
      </c>
      <c r="Q29" s="41"/>
      <c r="R29" s="41"/>
      <c r="S29" s="81">
        <f t="shared" si="1"/>
        <v>3386</v>
      </c>
      <c r="T29" s="28">
        <f t="shared" si="2"/>
        <v>6772</v>
      </c>
      <c r="U29" s="41"/>
      <c r="V29" s="41"/>
      <c r="W29" s="81">
        <f t="shared" si="3"/>
        <v>6772</v>
      </c>
    </row>
    <row r="30" spans="1:23" ht="29.25">
      <c r="A30" s="234" t="s">
        <v>7</v>
      </c>
      <c r="B30" s="56" t="s">
        <v>157</v>
      </c>
      <c r="C30" s="370" t="s">
        <v>517</v>
      </c>
      <c r="D30" s="376" t="s">
        <v>535</v>
      </c>
      <c r="E30" s="370">
        <v>74</v>
      </c>
      <c r="F30" s="375" t="s">
        <v>516</v>
      </c>
      <c r="G30" s="370" t="s">
        <v>517</v>
      </c>
      <c r="H30" s="302" t="s">
        <v>537</v>
      </c>
      <c r="I30" s="519">
        <v>90342537</v>
      </c>
      <c r="J30" s="335" t="s">
        <v>149</v>
      </c>
      <c r="K30" s="314">
        <v>2.3</v>
      </c>
      <c r="L30" s="28">
        <f>17155-14321</f>
        <v>2834</v>
      </c>
      <c r="M30" s="41"/>
      <c r="N30" s="41"/>
      <c r="O30" s="81">
        <f t="shared" si="0"/>
        <v>2834</v>
      </c>
      <c r="P30" s="28">
        <f>17155-14321</f>
        <v>2834</v>
      </c>
      <c r="Q30" s="41"/>
      <c r="R30" s="41"/>
      <c r="S30" s="81">
        <f t="shared" si="1"/>
        <v>2834</v>
      </c>
      <c r="T30" s="28">
        <f t="shared" si="2"/>
        <v>5668</v>
      </c>
      <c r="U30" s="41"/>
      <c r="V30" s="41"/>
      <c r="W30" s="81">
        <f t="shared" si="3"/>
        <v>5668</v>
      </c>
    </row>
    <row r="31" spans="1:23" ht="29.25">
      <c r="A31" s="234" t="s">
        <v>7</v>
      </c>
      <c r="B31" s="56" t="s">
        <v>157</v>
      </c>
      <c r="C31" s="370" t="s">
        <v>517</v>
      </c>
      <c r="D31" s="376" t="s">
        <v>538</v>
      </c>
      <c r="E31" s="370"/>
      <c r="F31" s="375" t="s">
        <v>516</v>
      </c>
      <c r="G31" s="370" t="s">
        <v>517</v>
      </c>
      <c r="H31" s="302" t="s">
        <v>539</v>
      </c>
      <c r="I31" s="370">
        <v>83426587</v>
      </c>
      <c r="J31" s="335" t="s">
        <v>149</v>
      </c>
      <c r="K31" s="314">
        <v>1.4</v>
      </c>
      <c r="L31" s="28">
        <f>17148-13592</f>
        <v>3556</v>
      </c>
      <c r="M31" s="41"/>
      <c r="N31" s="41"/>
      <c r="O31" s="81">
        <f t="shared" si="0"/>
        <v>3556</v>
      </c>
      <c r="P31" s="28">
        <f>17148-13592</f>
        <v>3556</v>
      </c>
      <c r="Q31" s="41"/>
      <c r="R31" s="41"/>
      <c r="S31" s="81">
        <f t="shared" si="1"/>
        <v>3556</v>
      </c>
      <c r="T31" s="28">
        <f t="shared" si="2"/>
        <v>7112</v>
      </c>
      <c r="U31" s="41"/>
      <c r="V31" s="41"/>
      <c r="W31" s="81">
        <f t="shared" si="3"/>
        <v>7112</v>
      </c>
    </row>
    <row r="32" spans="1:23" ht="29.25">
      <c r="A32" s="234" t="s">
        <v>7</v>
      </c>
      <c r="B32" s="56" t="s">
        <v>157</v>
      </c>
      <c r="C32" s="370" t="s">
        <v>517</v>
      </c>
      <c r="D32" s="376" t="s">
        <v>540</v>
      </c>
      <c r="E32" s="370"/>
      <c r="F32" s="375" t="s">
        <v>516</v>
      </c>
      <c r="G32" s="370" t="s">
        <v>517</v>
      </c>
      <c r="H32" s="302" t="s">
        <v>541</v>
      </c>
      <c r="I32" s="370">
        <v>96038259</v>
      </c>
      <c r="J32" s="335" t="s">
        <v>149</v>
      </c>
      <c r="K32" s="314">
        <v>1.6</v>
      </c>
      <c r="L32" s="28">
        <f>37031-28591</f>
        <v>8440</v>
      </c>
      <c r="M32" s="41"/>
      <c r="N32" s="41"/>
      <c r="O32" s="81">
        <f t="shared" si="0"/>
        <v>8440</v>
      </c>
      <c r="P32" s="28">
        <f>37031-28591</f>
        <v>8440</v>
      </c>
      <c r="Q32" s="41"/>
      <c r="R32" s="41"/>
      <c r="S32" s="81">
        <f t="shared" si="1"/>
        <v>8440</v>
      </c>
      <c r="T32" s="28">
        <f t="shared" si="2"/>
        <v>16880</v>
      </c>
      <c r="U32" s="41"/>
      <c r="V32" s="41"/>
      <c r="W32" s="81">
        <f t="shared" si="3"/>
        <v>16880</v>
      </c>
    </row>
    <row r="33" spans="1:23" ht="29.25">
      <c r="A33" s="234" t="s">
        <v>7</v>
      </c>
      <c r="B33" s="56" t="s">
        <v>157</v>
      </c>
      <c r="C33" s="376" t="s">
        <v>1295</v>
      </c>
      <c r="D33" s="376"/>
      <c r="E33" s="370">
        <v>3</v>
      </c>
      <c r="F33" s="375" t="s">
        <v>516</v>
      </c>
      <c r="G33" s="370" t="s">
        <v>517</v>
      </c>
      <c r="H33" s="302" t="s">
        <v>542</v>
      </c>
      <c r="I33" s="370">
        <v>83426588</v>
      </c>
      <c r="J33" s="335" t="s">
        <v>149</v>
      </c>
      <c r="K33" s="314">
        <v>0.6</v>
      </c>
      <c r="L33" s="28">
        <f>7170-5665</f>
        <v>1505</v>
      </c>
      <c r="M33" s="41"/>
      <c r="N33" s="41"/>
      <c r="O33" s="81">
        <f t="shared" si="0"/>
        <v>1505</v>
      </c>
      <c r="P33" s="28">
        <f>7170-5665</f>
        <v>1505</v>
      </c>
      <c r="Q33" s="41"/>
      <c r="R33" s="41"/>
      <c r="S33" s="81">
        <f t="shared" si="1"/>
        <v>1505</v>
      </c>
      <c r="T33" s="28">
        <f t="shared" si="2"/>
        <v>3010</v>
      </c>
      <c r="U33" s="41"/>
      <c r="V33" s="41"/>
      <c r="W33" s="81">
        <f t="shared" si="3"/>
        <v>3010</v>
      </c>
    </row>
    <row r="34" spans="1:23" ht="29.25">
      <c r="A34" s="234" t="s">
        <v>7</v>
      </c>
      <c r="B34" s="56" t="s">
        <v>157</v>
      </c>
      <c r="C34" s="376" t="s">
        <v>1295</v>
      </c>
      <c r="D34" s="376"/>
      <c r="E34" s="370">
        <v>1</v>
      </c>
      <c r="F34" s="375" t="s">
        <v>516</v>
      </c>
      <c r="G34" s="370" t="s">
        <v>517</v>
      </c>
      <c r="H34" s="302" t="s">
        <v>543</v>
      </c>
      <c r="I34" s="370">
        <v>71905193</v>
      </c>
      <c r="J34" s="335" t="s">
        <v>149</v>
      </c>
      <c r="K34" s="314">
        <v>4</v>
      </c>
      <c r="L34" s="28">
        <f>53144-47626</f>
        <v>5518</v>
      </c>
      <c r="M34" s="41"/>
      <c r="N34" s="41"/>
      <c r="O34" s="81">
        <f t="shared" si="0"/>
        <v>5518</v>
      </c>
      <c r="P34" s="28">
        <f>53144-47626</f>
        <v>5518</v>
      </c>
      <c r="Q34" s="41"/>
      <c r="R34" s="41"/>
      <c r="S34" s="81">
        <f t="shared" si="1"/>
        <v>5518</v>
      </c>
      <c r="T34" s="28">
        <f t="shared" si="2"/>
        <v>11036</v>
      </c>
      <c r="U34" s="41"/>
      <c r="V34" s="41"/>
      <c r="W34" s="81">
        <f t="shared" si="3"/>
        <v>11036</v>
      </c>
    </row>
    <row r="35" spans="1:23" ht="29.25">
      <c r="A35" s="234" t="s">
        <v>7</v>
      </c>
      <c r="B35" s="56" t="s">
        <v>157</v>
      </c>
      <c r="C35" s="376" t="s">
        <v>1295</v>
      </c>
      <c r="D35" s="376"/>
      <c r="E35" s="370">
        <v>4</v>
      </c>
      <c r="F35" s="375" t="s">
        <v>516</v>
      </c>
      <c r="G35" s="370" t="s">
        <v>517</v>
      </c>
      <c r="H35" s="302" t="s">
        <v>544</v>
      </c>
      <c r="I35" s="370">
        <v>90694271</v>
      </c>
      <c r="J35" s="335" t="s">
        <v>149</v>
      </c>
      <c r="K35" s="314">
        <v>1.3</v>
      </c>
      <c r="L35" s="28">
        <f>15904-13131</f>
        <v>2773</v>
      </c>
      <c r="M35" s="41"/>
      <c r="N35" s="41"/>
      <c r="O35" s="81">
        <f t="shared" si="0"/>
        <v>2773</v>
      </c>
      <c r="P35" s="28">
        <f>15904-13131</f>
        <v>2773</v>
      </c>
      <c r="Q35" s="41"/>
      <c r="R35" s="41"/>
      <c r="S35" s="81">
        <f t="shared" si="1"/>
        <v>2773</v>
      </c>
      <c r="T35" s="28">
        <f t="shared" si="2"/>
        <v>5546</v>
      </c>
      <c r="U35" s="41"/>
      <c r="V35" s="41"/>
      <c r="W35" s="81">
        <f t="shared" si="3"/>
        <v>5546</v>
      </c>
    </row>
    <row r="36" spans="1:23" ht="29.25">
      <c r="A36" s="234" t="s">
        <v>7</v>
      </c>
      <c r="B36" s="56" t="s">
        <v>157</v>
      </c>
      <c r="C36" s="370" t="s">
        <v>545</v>
      </c>
      <c r="D36" s="376"/>
      <c r="E36" s="370">
        <v>23</v>
      </c>
      <c r="F36" s="375" t="s">
        <v>516</v>
      </c>
      <c r="G36" s="370" t="s">
        <v>517</v>
      </c>
      <c r="H36" s="302" t="s">
        <v>546</v>
      </c>
      <c r="I36" s="370">
        <v>83426437</v>
      </c>
      <c r="J36" s="335" t="s">
        <v>149</v>
      </c>
      <c r="K36" s="314">
        <v>2.2</v>
      </c>
      <c r="L36" s="28">
        <f>15366-12068</f>
        <v>3298</v>
      </c>
      <c r="M36" s="41"/>
      <c r="N36" s="41"/>
      <c r="O36" s="81">
        <f t="shared" si="0"/>
        <v>3298</v>
      </c>
      <c r="P36" s="28">
        <f>15366-12068</f>
        <v>3298</v>
      </c>
      <c r="Q36" s="41"/>
      <c r="R36" s="41"/>
      <c r="S36" s="81">
        <f t="shared" si="1"/>
        <v>3298</v>
      </c>
      <c r="T36" s="28">
        <f t="shared" si="2"/>
        <v>6596</v>
      </c>
      <c r="U36" s="41"/>
      <c r="V36" s="41"/>
      <c r="W36" s="81">
        <f t="shared" si="3"/>
        <v>6596</v>
      </c>
    </row>
    <row r="37" spans="1:23" ht="29.25">
      <c r="A37" s="234" t="s">
        <v>7</v>
      </c>
      <c r="B37" s="56" t="s">
        <v>157</v>
      </c>
      <c r="C37" s="370" t="s">
        <v>547</v>
      </c>
      <c r="D37" s="376"/>
      <c r="E37" s="370">
        <v>2</v>
      </c>
      <c r="F37" s="375" t="s">
        <v>516</v>
      </c>
      <c r="G37" s="370" t="s">
        <v>517</v>
      </c>
      <c r="H37" s="302" t="s">
        <v>548</v>
      </c>
      <c r="I37" s="370">
        <v>83426420</v>
      </c>
      <c r="J37" s="335" t="s">
        <v>149</v>
      </c>
      <c r="K37" s="314">
        <v>1</v>
      </c>
      <c r="L37" s="28">
        <f>16383-12659</f>
        <v>3724</v>
      </c>
      <c r="M37" s="41"/>
      <c r="N37" s="41"/>
      <c r="O37" s="81">
        <f t="shared" si="0"/>
        <v>3724</v>
      </c>
      <c r="P37" s="28">
        <f>16383-12659</f>
        <v>3724</v>
      </c>
      <c r="Q37" s="41"/>
      <c r="R37" s="41"/>
      <c r="S37" s="81">
        <f t="shared" si="1"/>
        <v>3724</v>
      </c>
      <c r="T37" s="28">
        <f t="shared" si="2"/>
        <v>7448</v>
      </c>
      <c r="U37" s="41"/>
      <c r="V37" s="41"/>
      <c r="W37" s="81">
        <f t="shared" si="3"/>
        <v>7448</v>
      </c>
    </row>
    <row r="38" spans="1:23" ht="29.25">
      <c r="A38" s="234" t="s">
        <v>7</v>
      </c>
      <c r="B38" s="56" t="s">
        <v>157</v>
      </c>
      <c r="C38" s="370" t="s">
        <v>547</v>
      </c>
      <c r="D38" s="376"/>
      <c r="E38" s="370">
        <v>1</v>
      </c>
      <c r="F38" s="375" t="s">
        <v>516</v>
      </c>
      <c r="G38" s="370" t="s">
        <v>517</v>
      </c>
      <c r="H38" s="302" t="s">
        <v>549</v>
      </c>
      <c r="I38" s="370">
        <v>83426450</v>
      </c>
      <c r="J38" s="335" t="s">
        <v>149</v>
      </c>
      <c r="K38" s="314">
        <v>1.5</v>
      </c>
      <c r="L38" s="28">
        <f>15891-12459</f>
        <v>3432</v>
      </c>
      <c r="M38" s="41"/>
      <c r="N38" s="41"/>
      <c r="O38" s="81">
        <f t="shared" si="0"/>
        <v>3432</v>
      </c>
      <c r="P38" s="28">
        <f>15891-12459</f>
        <v>3432</v>
      </c>
      <c r="Q38" s="41"/>
      <c r="R38" s="41"/>
      <c r="S38" s="81">
        <f t="shared" si="1"/>
        <v>3432</v>
      </c>
      <c r="T38" s="28">
        <f t="shared" si="2"/>
        <v>6864</v>
      </c>
      <c r="U38" s="41"/>
      <c r="V38" s="41"/>
      <c r="W38" s="81">
        <f t="shared" si="3"/>
        <v>6864</v>
      </c>
    </row>
    <row r="39" spans="1:23" ht="29.25">
      <c r="A39" s="234" t="s">
        <v>7</v>
      </c>
      <c r="B39" s="56" t="s">
        <v>157</v>
      </c>
      <c r="C39" s="370" t="s">
        <v>550</v>
      </c>
      <c r="D39" s="376"/>
      <c r="E39" s="370"/>
      <c r="F39" s="375" t="s">
        <v>516</v>
      </c>
      <c r="G39" s="370" t="s">
        <v>517</v>
      </c>
      <c r="H39" s="302" t="s">
        <v>551</v>
      </c>
      <c r="I39" s="370">
        <v>83425875</v>
      </c>
      <c r="J39" s="335" t="s">
        <v>149</v>
      </c>
      <c r="K39" s="314">
        <v>0.7</v>
      </c>
      <c r="L39" s="28">
        <f>21733-17544</f>
        <v>4189</v>
      </c>
      <c r="M39" s="41"/>
      <c r="N39" s="41"/>
      <c r="O39" s="81">
        <f t="shared" si="0"/>
        <v>4189</v>
      </c>
      <c r="P39" s="28">
        <f>21733-17544</f>
        <v>4189</v>
      </c>
      <c r="Q39" s="41"/>
      <c r="R39" s="41"/>
      <c r="S39" s="81">
        <f t="shared" si="1"/>
        <v>4189</v>
      </c>
      <c r="T39" s="28">
        <f t="shared" si="2"/>
        <v>8378</v>
      </c>
      <c r="U39" s="41"/>
      <c r="V39" s="41"/>
      <c r="W39" s="81">
        <f t="shared" si="3"/>
        <v>8378</v>
      </c>
    </row>
    <row r="40" spans="1:23" ht="29.25">
      <c r="A40" s="234" t="s">
        <v>7</v>
      </c>
      <c r="B40" s="56" t="s">
        <v>157</v>
      </c>
      <c r="C40" s="370" t="s">
        <v>552</v>
      </c>
      <c r="D40" s="376"/>
      <c r="E40" s="370"/>
      <c r="F40" s="375" t="s">
        <v>516</v>
      </c>
      <c r="G40" s="370" t="s">
        <v>517</v>
      </c>
      <c r="H40" s="302" t="s">
        <v>553</v>
      </c>
      <c r="I40" s="370">
        <v>71020612</v>
      </c>
      <c r="J40" s="335" t="s">
        <v>149</v>
      </c>
      <c r="K40" s="314">
        <v>1.6</v>
      </c>
      <c r="L40" s="28">
        <f>30163-25121</f>
        <v>5042</v>
      </c>
      <c r="M40" s="41"/>
      <c r="N40" s="41"/>
      <c r="O40" s="81">
        <f t="shared" si="0"/>
        <v>5042</v>
      </c>
      <c r="P40" s="28">
        <f>30163-25121</f>
        <v>5042</v>
      </c>
      <c r="Q40" s="41"/>
      <c r="R40" s="41"/>
      <c r="S40" s="81">
        <f t="shared" si="1"/>
        <v>5042</v>
      </c>
      <c r="T40" s="28">
        <f t="shared" si="2"/>
        <v>10084</v>
      </c>
      <c r="U40" s="41"/>
      <c r="V40" s="41"/>
      <c r="W40" s="81">
        <f t="shared" si="3"/>
        <v>10084</v>
      </c>
    </row>
    <row r="41" spans="1:23" ht="29.25">
      <c r="A41" s="234" t="s">
        <v>7</v>
      </c>
      <c r="B41" s="56" t="s">
        <v>157</v>
      </c>
      <c r="C41" s="370" t="s">
        <v>554</v>
      </c>
      <c r="D41" s="376"/>
      <c r="E41" s="370"/>
      <c r="F41" s="375" t="s">
        <v>516</v>
      </c>
      <c r="G41" s="370" t="s">
        <v>517</v>
      </c>
      <c r="H41" s="302" t="s">
        <v>555</v>
      </c>
      <c r="I41" s="370">
        <v>83426436</v>
      </c>
      <c r="J41" s="335" t="s">
        <v>149</v>
      </c>
      <c r="K41" s="314">
        <v>0.5</v>
      </c>
      <c r="L41" s="28">
        <f>8871-7131</f>
        <v>1740</v>
      </c>
      <c r="M41" s="41"/>
      <c r="N41" s="41"/>
      <c r="O41" s="81">
        <f t="shared" si="0"/>
        <v>1740</v>
      </c>
      <c r="P41" s="28">
        <f>8871-7131</f>
        <v>1740</v>
      </c>
      <c r="Q41" s="41"/>
      <c r="R41" s="41"/>
      <c r="S41" s="81">
        <f t="shared" si="1"/>
        <v>1740</v>
      </c>
      <c r="T41" s="28">
        <f t="shared" si="2"/>
        <v>3480</v>
      </c>
      <c r="U41" s="41"/>
      <c r="V41" s="41"/>
      <c r="W41" s="81">
        <f t="shared" si="3"/>
        <v>3480</v>
      </c>
    </row>
    <row r="42" spans="1:23" ht="29.25">
      <c r="A42" s="234" t="s">
        <v>7</v>
      </c>
      <c r="B42" s="56" t="s">
        <v>157</v>
      </c>
      <c r="C42" s="370" t="s">
        <v>554</v>
      </c>
      <c r="D42" s="376"/>
      <c r="E42" s="370"/>
      <c r="F42" s="375" t="s">
        <v>516</v>
      </c>
      <c r="G42" s="370" t="s">
        <v>517</v>
      </c>
      <c r="H42" s="302" t="s">
        <v>556</v>
      </c>
      <c r="I42" s="370">
        <v>83426406</v>
      </c>
      <c r="J42" s="335" t="s">
        <v>149</v>
      </c>
      <c r="K42" s="314">
        <v>0.3</v>
      </c>
      <c r="L42" s="28">
        <f>15091-11511</f>
        <v>3580</v>
      </c>
      <c r="M42" s="41"/>
      <c r="N42" s="41"/>
      <c r="O42" s="81">
        <f t="shared" si="0"/>
        <v>3580</v>
      </c>
      <c r="P42" s="28">
        <f>15091-11511</f>
        <v>3580</v>
      </c>
      <c r="Q42" s="41"/>
      <c r="R42" s="41"/>
      <c r="S42" s="81">
        <f t="shared" si="1"/>
        <v>3580</v>
      </c>
      <c r="T42" s="28">
        <f t="shared" si="2"/>
        <v>7160</v>
      </c>
      <c r="U42" s="41"/>
      <c r="V42" s="41"/>
      <c r="W42" s="81">
        <f t="shared" si="3"/>
        <v>7160</v>
      </c>
    </row>
    <row r="43" spans="1:23" ht="29.25">
      <c r="A43" s="234" t="s">
        <v>7</v>
      </c>
      <c r="B43" s="56" t="s">
        <v>157</v>
      </c>
      <c r="C43" s="376" t="s">
        <v>557</v>
      </c>
      <c r="D43" s="376"/>
      <c r="E43" s="370">
        <v>1</v>
      </c>
      <c r="F43" s="375" t="s">
        <v>516</v>
      </c>
      <c r="G43" s="370" t="s">
        <v>517</v>
      </c>
      <c r="H43" s="302" t="s">
        <v>558</v>
      </c>
      <c r="I43" s="370">
        <v>83426589</v>
      </c>
      <c r="J43" s="335" t="s">
        <v>149</v>
      </c>
      <c r="K43" s="314">
        <v>0.6</v>
      </c>
      <c r="L43" s="28">
        <f>16497-13298</f>
        <v>3199</v>
      </c>
      <c r="M43" s="41"/>
      <c r="N43" s="41"/>
      <c r="O43" s="81">
        <f t="shared" si="0"/>
        <v>3199</v>
      </c>
      <c r="P43" s="28">
        <f>16497-13298</f>
        <v>3199</v>
      </c>
      <c r="Q43" s="41"/>
      <c r="R43" s="41"/>
      <c r="S43" s="81">
        <f t="shared" si="1"/>
        <v>3199</v>
      </c>
      <c r="T43" s="28">
        <f t="shared" si="2"/>
        <v>6398</v>
      </c>
      <c r="U43" s="41"/>
      <c r="V43" s="41"/>
      <c r="W43" s="81">
        <f t="shared" si="3"/>
        <v>6398</v>
      </c>
    </row>
    <row r="44" spans="1:23" ht="29.25">
      <c r="A44" s="234" t="s">
        <v>7</v>
      </c>
      <c r="B44" s="56" t="s">
        <v>157</v>
      </c>
      <c r="C44" s="370" t="s">
        <v>625</v>
      </c>
      <c r="D44" s="376"/>
      <c r="E44" s="370"/>
      <c r="F44" s="375" t="s">
        <v>516</v>
      </c>
      <c r="G44" s="370" t="s">
        <v>517</v>
      </c>
      <c r="H44" s="302" t="s">
        <v>626</v>
      </c>
      <c r="I44" s="519">
        <v>83426395</v>
      </c>
      <c r="J44" s="336" t="s">
        <v>149</v>
      </c>
      <c r="K44" s="314">
        <v>1</v>
      </c>
      <c r="L44" s="28">
        <f>7537-6350</f>
        <v>1187</v>
      </c>
      <c r="M44" s="41"/>
      <c r="N44" s="41"/>
      <c r="O44" s="81">
        <f t="shared" si="0"/>
        <v>1187</v>
      </c>
      <c r="P44" s="28">
        <f>7537-6350</f>
        <v>1187</v>
      </c>
      <c r="Q44" s="41"/>
      <c r="R44" s="41"/>
      <c r="S44" s="81">
        <f t="shared" si="1"/>
        <v>1187</v>
      </c>
      <c r="T44" s="28">
        <f t="shared" si="2"/>
        <v>2374</v>
      </c>
      <c r="U44" s="41"/>
      <c r="V44" s="41"/>
      <c r="W44" s="81">
        <f t="shared" si="3"/>
        <v>2374</v>
      </c>
    </row>
    <row r="45" spans="1:23" ht="29.25">
      <c r="A45" s="234" t="s">
        <v>7</v>
      </c>
      <c r="B45" s="56" t="s">
        <v>157</v>
      </c>
      <c r="C45" s="370" t="s">
        <v>559</v>
      </c>
      <c r="D45" s="376"/>
      <c r="E45" s="370"/>
      <c r="F45" s="375" t="s">
        <v>516</v>
      </c>
      <c r="G45" s="370" t="s">
        <v>517</v>
      </c>
      <c r="H45" s="302" t="s">
        <v>560</v>
      </c>
      <c r="I45" s="370">
        <v>83426538</v>
      </c>
      <c r="J45" s="335" t="s">
        <v>149</v>
      </c>
      <c r="K45" s="314">
        <v>0.7</v>
      </c>
      <c r="L45" s="28">
        <f>13579-11197</f>
        <v>2382</v>
      </c>
      <c r="M45" s="41"/>
      <c r="N45" s="41"/>
      <c r="O45" s="81">
        <f t="shared" si="0"/>
        <v>2382</v>
      </c>
      <c r="P45" s="28">
        <f>13579-11197</f>
        <v>2382</v>
      </c>
      <c r="Q45" s="41"/>
      <c r="R45" s="41"/>
      <c r="S45" s="81">
        <f t="shared" si="1"/>
        <v>2382</v>
      </c>
      <c r="T45" s="28">
        <f t="shared" si="2"/>
        <v>4764</v>
      </c>
      <c r="U45" s="41"/>
      <c r="V45" s="41"/>
      <c r="W45" s="81">
        <f t="shared" si="3"/>
        <v>4764</v>
      </c>
    </row>
    <row r="46" spans="1:23" ht="29.25">
      <c r="A46" s="234" t="s">
        <v>7</v>
      </c>
      <c r="B46" s="56" t="s">
        <v>157</v>
      </c>
      <c r="C46" s="370" t="s">
        <v>561</v>
      </c>
      <c r="D46" s="376"/>
      <c r="E46" s="370"/>
      <c r="F46" s="375" t="s">
        <v>516</v>
      </c>
      <c r="G46" s="370" t="s">
        <v>517</v>
      </c>
      <c r="H46" s="302" t="s">
        <v>562</v>
      </c>
      <c r="I46" s="519">
        <v>90182721</v>
      </c>
      <c r="J46" s="335" t="s">
        <v>149</v>
      </c>
      <c r="K46" s="314">
        <v>4.2</v>
      </c>
      <c r="L46" s="28">
        <f>67609-56967</f>
        <v>10642</v>
      </c>
      <c r="M46" s="41"/>
      <c r="N46" s="41"/>
      <c r="O46" s="81">
        <f t="shared" si="0"/>
        <v>10642</v>
      </c>
      <c r="P46" s="28">
        <f>67609-56967</f>
        <v>10642</v>
      </c>
      <c r="Q46" s="41"/>
      <c r="R46" s="41"/>
      <c r="S46" s="81">
        <f t="shared" si="1"/>
        <v>10642</v>
      </c>
      <c r="T46" s="28">
        <f t="shared" si="2"/>
        <v>21284</v>
      </c>
      <c r="U46" s="41"/>
      <c r="V46" s="41"/>
      <c r="W46" s="81">
        <f t="shared" si="3"/>
        <v>21284</v>
      </c>
    </row>
    <row r="47" spans="1:23" ht="29.25">
      <c r="A47" s="234" t="s">
        <v>7</v>
      </c>
      <c r="B47" s="56" t="s">
        <v>157</v>
      </c>
      <c r="C47" s="370" t="s">
        <v>563</v>
      </c>
      <c r="D47" s="376"/>
      <c r="E47" s="370"/>
      <c r="F47" s="375" t="s">
        <v>516</v>
      </c>
      <c r="G47" s="370" t="s">
        <v>517</v>
      </c>
      <c r="H47" s="302" t="s">
        <v>564</v>
      </c>
      <c r="I47" s="370">
        <v>83426571</v>
      </c>
      <c r="J47" s="335" t="s">
        <v>149</v>
      </c>
      <c r="K47" s="314">
        <v>1</v>
      </c>
      <c r="L47" s="28">
        <f>28601-23294</f>
        <v>5307</v>
      </c>
      <c r="M47" s="41"/>
      <c r="N47" s="41"/>
      <c r="O47" s="81">
        <f t="shared" si="0"/>
        <v>5307</v>
      </c>
      <c r="P47" s="28">
        <f>28601-23294</f>
        <v>5307</v>
      </c>
      <c r="Q47" s="41"/>
      <c r="R47" s="41"/>
      <c r="S47" s="81">
        <f t="shared" si="1"/>
        <v>5307</v>
      </c>
      <c r="T47" s="28">
        <f t="shared" si="2"/>
        <v>10614</v>
      </c>
      <c r="U47" s="41"/>
      <c r="V47" s="41"/>
      <c r="W47" s="81">
        <f t="shared" si="3"/>
        <v>10614</v>
      </c>
    </row>
    <row r="48" spans="1:23" ht="29.25">
      <c r="A48" s="234" t="s">
        <v>7</v>
      </c>
      <c r="B48" s="56" t="s">
        <v>157</v>
      </c>
      <c r="C48" s="370" t="s">
        <v>565</v>
      </c>
      <c r="D48" s="376"/>
      <c r="E48" s="370"/>
      <c r="F48" s="375" t="s">
        <v>516</v>
      </c>
      <c r="G48" s="370" t="s">
        <v>517</v>
      </c>
      <c r="H48" s="302" t="s">
        <v>1296</v>
      </c>
      <c r="I48" s="370">
        <v>83291714</v>
      </c>
      <c r="J48" s="335" t="s">
        <v>149</v>
      </c>
      <c r="K48" s="314">
        <v>0.3</v>
      </c>
      <c r="L48" s="28">
        <f>6906-5330</f>
        <v>1576</v>
      </c>
      <c r="M48" s="41"/>
      <c r="N48" s="41"/>
      <c r="O48" s="81">
        <f t="shared" si="0"/>
        <v>1576</v>
      </c>
      <c r="P48" s="28">
        <f>6906-5330</f>
        <v>1576</v>
      </c>
      <c r="Q48" s="41"/>
      <c r="R48" s="41"/>
      <c r="S48" s="81">
        <f t="shared" si="1"/>
        <v>1576</v>
      </c>
      <c r="T48" s="28">
        <f t="shared" si="2"/>
        <v>3152</v>
      </c>
      <c r="U48" s="41"/>
      <c r="V48" s="41"/>
      <c r="W48" s="81">
        <f t="shared" si="3"/>
        <v>3152</v>
      </c>
    </row>
    <row r="49" spans="1:23" ht="29.25">
      <c r="A49" s="234" t="s">
        <v>7</v>
      </c>
      <c r="B49" s="56" t="s">
        <v>157</v>
      </c>
      <c r="C49" s="370" t="s">
        <v>566</v>
      </c>
      <c r="D49" s="376"/>
      <c r="E49" s="370"/>
      <c r="F49" s="375" t="s">
        <v>516</v>
      </c>
      <c r="G49" s="370" t="s">
        <v>517</v>
      </c>
      <c r="H49" s="302" t="s">
        <v>567</v>
      </c>
      <c r="I49" s="370">
        <v>1394972</v>
      </c>
      <c r="J49" s="335" t="s">
        <v>149</v>
      </c>
      <c r="K49" s="314">
        <v>0.3</v>
      </c>
      <c r="L49" s="28">
        <f>2624-2298</f>
        <v>326</v>
      </c>
      <c r="M49" s="41"/>
      <c r="N49" s="41"/>
      <c r="O49" s="81">
        <f t="shared" si="0"/>
        <v>326</v>
      </c>
      <c r="P49" s="28">
        <f>2624-2298</f>
        <v>326</v>
      </c>
      <c r="Q49" s="41"/>
      <c r="R49" s="41"/>
      <c r="S49" s="81">
        <f t="shared" si="1"/>
        <v>326</v>
      </c>
      <c r="T49" s="28">
        <f t="shared" si="2"/>
        <v>652</v>
      </c>
      <c r="U49" s="41"/>
      <c r="V49" s="41"/>
      <c r="W49" s="81">
        <f t="shared" si="3"/>
        <v>652</v>
      </c>
    </row>
    <row r="50" spans="1:23" ht="29.25">
      <c r="A50" s="234" t="s">
        <v>7</v>
      </c>
      <c r="B50" s="56" t="s">
        <v>157</v>
      </c>
      <c r="C50" s="370" t="s">
        <v>568</v>
      </c>
      <c r="D50" s="376"/>
      <c r="E50" s="370"/>
      <c r="F50" s="375" t="s">
        <v>516</v>
      </c>
      <c r="G50" s="370" t="s">
        <v>517</v>
      </c>
      <c r="H50" s="302" t="s">
        <v>569</v>
      </c>
      <c r="I50" s="370">
        <v>83426062</v>
      </c>
      <c r="J50" s="335" t="s">
        <v>149</v>
      </c>
      <c r="K50" s="314">
        <v>1.3</v>
      </c>
      <c r="L50" s="28">
        <f>23388-21250</f>
        <v>2138</v>
      </c>
      <c r="M50" s="41"/>
      <c r="N50" s="41"/>
      <c r="O50" s="81">
        <f t="shared" si="0"/>
        <v>2138</v>
      </c>
      <c r="P50" s="28">
        <f>23388-21250</f>
        <v>2138</v>
      </c>
      <c r="Q50" s="41"/>
      <c r="R50" s="41"/>
      <c r="S50" s="81">
        <f t="shared" si="1"/>
        <v>2138</v>
      </c>
      <c r="T50" s="28">
        <f t="shared" si="2"/>
        <v>4276</v>
      </c>
      <c r="U50" s="41"/>
      <c r="V50" s="41"/>
      <c r="W50" s="81">
        <f t="shared" si="3"/>
        <v>4276</v>
      </c>
    </row>
    <row r="51" spans="1:23" ht="29.25">
      <c r="A51" s="234" t="s">
        <v>7</v>
      </c>
      <c r="B51" s="56" t="s">
        <v>157</v>
      </c>
      <c r="C51" s="370" t="s">
        <v>570</v>
      </c>
      <c r="D51" s="376"/>
      <c r="E51" s="370"/>
      <c r="F51" s="375" t="s">
        <v>516</v>
      </c>
      <c r="G51" s="370" t="s">
        <v>517</v>
      </c>
      <c r="H51" s="302" t="s">
        <v>571</v>
      </c>
      <c r="I51" s="370">
        <v>83426459</v>
      </c>
      <c r="J51" s="335" t="s">
        <v>149</v>
      </c>
      <c r="K51" s="314">
        <v>2.2</v>
      </c>
      <c r="L51" s="28">
        <f>61744-50701</f>
        <v>11043</v>
      </c>
      <c r="M51" s="41"/>
      <c r="N51" s="41"/>
      <c r="O51" s="81">
        <f t="shared" si="0"/>
        <v>11043</v>
      </c>
      <c r="P51" s="28">
        <f>61744-50701</f>
        <v>11043</v>
      </c>
      <c r="Q51" s="41"/>
      <c r="R51" s="41"/>
      <c r="S51" s="81">
        <f t="shared" si="1"/>
        <v>11043</v>
      </c>
      <c r="T51" s="28">
        <f t="shared" si="2"/>
        <v>22086</v>
      </c>
      <c r="U51" s="41"/>
      <c r="V51" s="41"/>
      <c r="W51" s="81">
        <f t="shared" si="3"/>
        <v>22086</v>
      </c>
    </row>
    <row r="52" spans="1:23" ht="29.25">
      <c r="A52" s="234" t="s">
        <v>7</v>
      </c>
      <c r="B52" s="56" t="s">
        <v>157</v>
      </c>
      <c r="C52" s="370" t="s">
        <v>572</v>
      </c>
      <c r="D52" s="376"/>
      <c r="E52" s="370"/>
      <c r="F52" s="375" t="s">
        <v>516</v>
      </c>
      <c r="G52" s="370" t="s">
        <v>517</v>
      </c>
      <c r="H52" s="302" t="s">
        <v>573</v>
      </c>
      <c r="I52" s="370">
        <v>83426455</v>
      </c>
      <c r="J52" s="335" t="s">
        <v>149</v>
      </c>
      <c r="K52" s="314">
        <v>1.4</v>
      </c>
      <c r="L52" s="28">
        <f>57612-47399</f>
        <v>10213</v>
      </c>
      <c r="M52" s="41"/>
      <c r="N52" s="41"/>
      <c r="O52" s="81">
        <f t="shared" si="0"/>
        <v>10213</v>
      </c>
      <c r="P52" s="28">
        <f>57612-47399</f>
        <v>10213</v>
      </c>
      <c r="Q52" s="41"/>
      <c r="R52" s="41"/>
      <c r="S52" s="81">
        <f t="shared" si="1"/>
        <v>10213</v>
      </c>
      <c r="T52" s="28">
        <f t="shared" si="2"/>
        <v>20426</v>
      </c>
      <c r="U52" s="41"/>
      <c r="V52" s="41"/>
      <c r="W52" s="81">
        <f t="shared" si="3"/>
        <v>20426</v>
      </c>
    </row>
    <row r="53" spans="1:23" ht="29.25">
      <c r="A53" s="234" t="s">
        <v>7</v>
      </c>
      <c r="B53" s="56" t="s">
        <v>157</v>
      </c>
      <c r="C53" s="370" t="s">
        <v>576</v>
      </c>
      <c r="D53" s="376"/>
      <c r="E53" s="370">
        <v>2</v>
      </c>
      <c r="F53" s="375" t="s">
        <v>516</v>
      </c>
      <c r="G53" s="370" t="s">
        <v>517</v>
      </c>
      <c r="H53" s="302" t="s">
        <v>577</v>
      </c>
      <c r="I53" s="370">
        <v>94962234</v>
      </c>
      <c r="J53" s="335" t="s">
        <v>149</v>
      </c>
      <c r="K53" s="314">
        <v>1</v>
      </c>
      <c r="L53" s="28">
        <f>9707-6786</f>
        <v>2921</v>
      </c>
      <c r="M53" s="41"/>
      <c r="N53" s="41"/>
      <c r="O53" s="81">
        <f t="shared" si="0"/>
        <v>2921</v>
      </c>
      <c r="P53" s="28">
        <f>9707-6786</f>
        <v>2921</v>
      </c>
      <c r="Q53" s="41"/>
      <c r="R53" s="41"/>
      <c r="S53" s="81">
        <f t="shared" si="1"/>
        <v>2921</v>
      </c>
      <c r="T53" s="28">
        <f t="shared" si="2"/>
        <v>5842</v>
      </c>
      <c r="U53" s="41"/>
      <c r="V53" s="41"/>
      <c r="W53" s="81">
        <f t="shared" si="3"/>
        <v>5842</v>
      </c>
    </row>
    <row r="54" spans="1:23" ht="29.25">
      <c r="A54" s="234" t="s">
        <v>7</v>
      </c>
      <c r="B54" s="56" t="s">
        <v>157</v>
      </c>
      <c r="C54" s="370" t="s">
        <v>576</v>
      </c>
      <c r="D54" s="376"/>
      <c r="E54" s="370">
        <v>1</v>
      </c>
      <c r="F54" s="375" t="s">
        <v>516</v>
      </c>
      <c r="G54" s="370" t="s">
        <v>517</v>
      </c>
      <c r="H54" s="302" t="s">
        <v>578</v>
      </c>
      <c r="I54" s="370">
        <v>93088292</v>
      </c>
      <c r="J54" s="335" t="s">
        <v>149</v>
      </c>
      <c r="K54" s="314">
        <v>1.2</v>
      </c>
      <c r="L54" s="28">
        <f>6278-3240</f>
        <v>3038</v>
      </c>
      <c r="M54" s="41"/>
      <c r="N54" s="41"/>
      <c r="O54" s="81">
        <f t="shared" si="0"/>
        <v>3038</v>
      </c>
      <c r="P54" s="28">
        <f>6278-3240</f>
        <v>3038</v>
      </c>
      <c r="Q54" s="41"/>
      <c r="R54" s="41"/>
      <c r="S54" s="81">
        <f t="shared" si="1"/>
        <v>3038</v>
      </c>
      <c r="T54" s="28">
        <f t="shared" si="2"/>
        <v>6076</v>
      </c>
      <c r="U54" s="41"/>
      <c r="V54" s="41"/>
      <c r="W54" s="81">
        <f t="shared" si="3"/>
        <v>6076</v>
      </c>
    </row>
    <row r="55" spans="1:23" ht="29.25">
      <c r="A55" s="234" t="s">
        <v>7</v>
      </c>
      <c r="B55" s="56" t="s">
        <v>157</v>
      </c>
      <c r="C55" s="370" t="s">
        <v>579</v>
      </c>
      <c r="D55" s="376"/>
      <c r="E55" s="370"/>
      <c r="F55" s="375" t="s">
        <v>516</v>
      </c>
      <c r="G55" s="370" t="s">
        <v>517</v>
      </c>
      <c r="H55" s="302" t="s">
        <v>580</v>
      </c>
      <c r="I55" s="370">
        <v>83426467</v>
      </c>
      <c r="J55" s="335" t="s">
        <v>149</v>
      </c>
      <c r="K55" s="314">
        <v>1</v>
      </c>
      <c r="L55" s="28">
        <f>9460-8543</f>
        <v>917</v>
      </c>
      <c r="M55" s="41"/>
      <c r="N55" s="41"/>
      <c r="O55" s="81">
        <f t="shared" si="0"/>
        <v>917</v>
      </c>
      <c r="P55" s="28">
        <f>9460-8543</f>
        <v>917</v>
      </c>
      <c r="Q55" s="41"/>
      <c r="R55" s="41"/>
      <c r="S55" s="81">
        <f t="shared" si="1"/>
        <v>917</v>
      </c>
      <c r="T55" s="28">
        <f t="shared" si="2"/>
        <v>1834</v>
      </c>
      <c r="U55" s="41"/>
      <c r="V55" s="41"/>
      <c r="W55" s="81">
        <f t="shared" si="3"/>
        <v>1834</v>
      </c>
    </row>
    <row r="56" spans="1:23" ht="29.25">
      <c r="A56" s="234" t="s">
        <v>7</v>
      </c>
      <c r="B56" s="56" t="s">
        <v>157</v>
      </c>
      <c r="C56" s="376" t="s">
        <v>552</v>
      </c>
      <c r="D56" s="376"/>
      <c r="E56" s="370">
        <v>1</v>
      </c>
      <c r="F56" s="375" t="s">
        <v>516</v>
      </c>
      <c r="G56" s="370" t="s">
        <v>517</v>
      </c>
      <c r="H56" s="302" t="s">
        <v>1299</v>
      </c>
      <c r="I56" s="370">
        <v>90694280</v>
      </c>
      <c r="J56" s="335" t="s">
        <v>149</v>
      </c>
      <c r="K56" s="314">
        <v>2</v>
      </c>
      <c r="L56" s="28">
        <f>21411-17288</f>
        <v>4123</v>
      </c>
      <c r="M56" s="41"/>
      <c r="N56" s="41"/>
      <c r="O56" s="81">
        <f t="shared" si="0"/>
        <v>4123</v>
      </c>
      <c r="P56" s="28">
        <f>21411-17288</f>
        <v>4123</v>
      </c>
      <c r="Q56" s="41"/>
      <c r="R56" s="41"/>
      <c r="S56" s="81">
        <f t="shared" si="1"/>
        <v>4123</v>
      </c>
      <c r="T56" s="28">
        <f t="shared" si="2"/>
        <v>8246</v>
      </c>
      <c r="U56" s="41"/>
      <c r="V56" s="41"/>
      <c r="W56" s="81">
        <f t="shared" si="3"/>
        <v>8246</v>
      </c>
    </row>
    <row r="57" spans="1:23" ht="29.25">
      <c r="A57" s="234" t="s">
        <v>7</v>
      </c>
      <c r="B57" s="56" t="s">
        <v>157</v>
      </c>
      <c r="C57" s="370" t="s">
        <v>581</v>
      </c>
      <c r="D57" s="376"/>
      <c r="E57" s="370">
        <v>2</v>
      </c>
      <c r="F57" s="375" t="s">
        <v>516</v>
      </c>
      <c r="G57" s="370" t="s">
        <v>517</v>
      </c>
      <c r="H57" s="302" t="s">
        <v>582</v>
      </c>
      <c r="I57" s="370">
        <v>83426428</v>
      </c>
      <c r="J57" s="335" t="s">
        <v>149</v>
      </c>
      <c r="K57" s="314">
        <v>0.6</v>
      </c>
      <c r="L57" s="28">
        <f>17345-13859</f>
        <v>3486</v>
      </c>
      <c r="M57" s="41"/>
      <c r="N57" s="41"/>
      <c r="O57" s="81">
        <f t="shared" si="0"/>
        <v>3486</v>
      </c>
      <c r="P57" s="28">
        <f>17345-13859</f>
        <v>3486</v>
      </c>
      <c r="Q57" s="41"/>
      <c r="R57" s="41"/>
      <c r="S57" s="81">
        <f t="shared" si="1"/>
        <v>3486</v>
      </c>
      <c r="T57" s="28">
        <f t="shared" si="2"/>
        <v>6972</v>
      </c>
      <c r="U57" s="41"/>
      <c r="V57" s="41"/>
      <c r="W57" s="81">
        <f t="shared" si="3"/>
        <v>6972</v>
      </c>
    </row>
    <row r="58" spans="1:23" ht="29.25">
      <c r="A58" s="234" t="s">
        <v>7</v>
      </c>
      <c r="B58" s="56" t="s">
        <v>157</v>
      </c>
      <c r="C58" s="370" t="s">
        <v>583</v>
      </c>
      <c r="D58" s="376"/>
      <c r="E58" s="370">
        <v>4</v>
      </c>
      <c r="F58" s="375" t="s">
        <v>516</v>
      </c>
      <c r="G58" s="370" t="s">
        <v>517</v>
      </c>
      <c r="H58" s="302" t="s">
        <v>584</v>
      </c>
      <c r="I58" s="370">
        <v>83425916</v>
      </c>
      <c r="J58" s="335" t="s">
        <v>149</v>
      </c>
      <c r="K58" s="314">
        <v>1</v>
      </c>
      <c r="L58" s="28">
        <f>18520-16643</f>
        <v>1877</v>
      </c>
      <c r="M58" s="41"/>
      <c r="N58" s="41"/>
      <c r="O58" s="81">
        <f t="shared" si="0"/>
        <v>1877</v>
      </c>
      <c r="P58" s="28">
        <f>18520-16643</f>
        <v>1877</v>
      </c>
      <c r="Q58" s="41"/>
      <c r="R58" s="41"/>
      <c r="S58" s="81">
        <f t="shared" si="1"/>
        <v>1877</v>
      </c>
      <c r="T58" s="28">
        <f t="shared" si="2"/>
        <v>3754</v>
      </c>
      <c r="U58" s="41"/>
      <c r="V58" s="41"/>
      <c r="W58" s="81">
        <f t="shared" si="3"/>
        <v>3754</v>
      </c>
    </row>
    <row r="59" spans="1:23" ht="29.25">
      <c r="A59" s="234" t="s">
        <v>7</v>
      </c>
      <c r="B59" s="56" t="s">
        <v>157</v>
      </c>
      <c r="C59" s="370" t="s">
        <v>585</v>
      </c>
      <c r="D59" s="376"/>
      <c r="E59" s="370">
        <v>1</v>
      </c>
      <c r="F59" s="375" t="s">
        <v>516</v>
      </c>
      <c r="G59" s="370" t="s">
        <v>517</v>
      </c>
      <c r="H59" s="302" t="s">
        <v>586</v>
      </c>
      <c r="I59" s="370">
        <v>83426458</v>
      </c>
      <c r="J59" s="335" t="s">
        <v>149</v>
      </c>
      <c r="K59" s="314">
        <v>0.4</v>
      </c>
      <c r="L59" s="28">
        <f>12600-10241</f>
        <v>2359</v>
      </c>
      <c r="M59" s="41"/>
      <c r="N59" s="41"/>
      <c r="O59" s="81">
        <f t="shared" si="0"/>
        <v>2359</v>
      </c>
      <c r="P59" s="28">
        <f>12600-10241</f>
        <v>2359</v>
      </c>
      <c r="Q59" s="41"/>
      <c r="R59" s="41"/>
      <c r="S59" s="81">
        <f t="shared" si="1"/>
        <v>2359</v>
      </c>
      <c r="T59" s="28">
        <f t="shared" si="2"/>
        <v>4718</v>
      </c>
      <c r="U59" s="41"/>
      <c r="V59" s="41"/>
      <c r="W59" s="81">
        <f t="shared" si="3"/>
        <v>4718</v>
      </c>
    </row>
    <row r="60" spans="1:23" ht="29.25">
      <c r="A60" s="234" t="s">
        <v>7</v>
      </c>
      <c r="B60" s="56" t="s">
        <v>157</v>
      </c>
      <c r="C60" s="370" t="s">
        <v>587</v>
      </c>
      <c r="D60" s="376"/>
      <c r="E60" s="370">
        <v>2</v>
      </c>
      <c r="F60" s="375" t="s">
        <v>516</v>
      </c>
      <c r="G60" s="370" t="s">
        <v>517</v>
      </c>
      <c r="H60" s="302" t="s">
        <v>588</v>
      </c>
      <c r="I60" s="370">
        <v>83426457</v>
      </c>
      <c r="J60" s="335" t="s">
        <v>149</v>
      </c>
      <c r="K60" s="314">
        <v>0.7</v>
      </c>
      <c r="L60" s="28">
        <f>14365-11965</f>
        <v>2400</v>
      </c>
      <c r="M60" s="41"/>
      <c r="N60" s="41"/>
      <c r="O60" s="81">
        <f t="shared" si="0"/>
        <v>2400</v>
      </c>
      <c r="P60" s="28">
        <f>14365-11965</f>
        <v>2400</v>
      </c>
      <c r="Q60" s="41"/>
      <c r="R60" s="41"/>
      <c r="S60" s="81">
        <f t="shared" si="1"/>
        <v>2400</v>
      </c>
      <c r="T60" s="28">
        <f t="shared" si="2"/>
        <v>4800</v>
      </c>
      <c r="U60" s="41"/>
      <c r="V60" s="41"/>
      <c r="W60" s="81">
        <f t="shared" si="3"/>
        <v>4800</v>
      </c>
    </row>
    <row r="61" spans="1:23" ht="29.25">
      <c r="A61" s="234" t="s">
        <v>7</v>
      </c>
      <c r="B61" s="56" t="s">
        <v>157</v>
      </c>
      <c r="C61" s="370" t="s">
        <v>589</v>
      </c>
      <c r="D61" s="376"/>
      <c r="E61" s="370"/>
      <c r="F61" s="375" t="s">
        <v>516</v>
      </c>
      <c r="G61" s="370" t="s">
        <v>517</v>
      </c>
      <c r="H61" s="302" t="s">
        <v>590</v>
      </c>
      <c r="I61" s="370">
        <v>83425857</v>
      </c>
      <c r="J61" s="335" t="s">
        <v>149</v>
      </c>
      <c r="K61" s="314">
        <v>0.5</v>
      </c>
      <c r="L61" s="28">
        <f>14106-11043</f>
        <v>3063</v>
      </c>
      <c r="M61" s="41"/>
      <c r="N61" s="41"/>
      <c r="O61" s="81">
        <f t="shared" si="0"/>
        <v>3063</v>
      </c>
      <c r="P61" s="28">
        <f>14106-11043</f>
        <v>3063</v>
      </c>
      <c r="Q61" s="41"/>
      <c r="R61" s="41"/>
      <c r="S61" s="81">
        <f t="shared" si="1"/>
        <v>3063</v>
      </c>
      <c r="T61" s="28">
        <f t="shared" si="2"/>
        <v>6126</v>
      </c>
      <c r="U61" s="41"/>
      <c r="V61" s="41"/>
      <c r="W61" s="81">
        <f t="shared" si="3"/>
        <v>6126</v>
      </c>
    </row>
    <row r="62" spans="1:23" ht="29.25">
      <c r="A62" s="234" t="s">
        <v>7</v>
      </c>
      <c r="B62" s="56" t="s">
        <v>157</v>
      </c>
      <c r="C62" s="376" t="s">
        <v>557</v>
      </c>
      <c r="D62" s="376"/>
      <c r="E62" s="370">
        <v>3</v>
      </c>
      <c r="F62" s="375" t="s">
        <v>516</v>
      </c>
      <c r="G62" s="370" t="s">
        <v>517</v>
      </c>
      <c r="H62" s="302" t="s">
        <v>591</v>
      </c>
      <c r="I62" s="370">
        <v>83426007</v>
      </c>
      <c r="J62" s="335" t="s">
        <v>149</v>
      </c>
      <c r="K62" s="314">
        <v>0.6</v>
      </c>
      <c r="L62" s="28">
        <f>16639-12710</f>
        <v>3929</v>
      </c>
      <c r="M62" s="41"/>
      <c r="N62" s="41"/>
      <c r="O62" s="81">
        <f t="shared" si="0"/>
        <v>3929</v>
      </c>
      <c r="P62" s="28">
        <f>16639-12710</f>
        <v>3929</v>
      </c>
      <c r="Q62" s="41"/>
      <c r="R62" s="41"/>
      <c r="S62" s="81">
        <f t="shared" si="1"/>
        <v>3929</v>
      </c>
      <c r="T62" s="28">
        <f t="shared" si="2"/>
        <v>7858</v>
      </c>
      <c r="U62" s="41"/>
      <c r="V62" s="41"/>
      <c r="W62" s="81">
        <f t="shared" si="3"/>
        <v>7858</v>
      </c>
    </row>
    <row r="63" spans="1:23" ht="29.25">
      <c r="A63" s="234" t="s">
        <v>7</v>
      </c>
      <c r="B63" s="56" t="s">
        <v>157</v>
      </c>
      <c r="C63" s="376" t="s">
        <v>557</v>
      </c>
      <c r="D63" s="376"/>
      <c r="E63" s="370">
        <v>2</v>
      </c>
      <c r="F63" s="375" t="s">
        <v>516</v>
      </c>
      <c r="G63" s="370" t="s">
        <v>517</v>
      </c>
      <c r="H63" s="302" t="s">
        <v>592</v>
      </c>
      <c r="I63" s="370">
        <v>83426303</v>
      </c>
      <c r="J63" s="335" t="s">
        <v>149</v>
      </c>
      <c r="K63" s="314">
        <v>1</v>
      </c>
      <c r="L63" s="28">
        <f>21411-17128</f>
        <v>4283</v>
      </c>
      <c r="M63" s="41"/>
      <c r="N63" s="41"/>
      <c r="O63" s="81">
        <f t="shared" si="0"/>
        <v>4283</v>
      </c>
      <c r="P63" s="28">
        <f>21411-17128</f>
        <v>4283</v>
      </c>
      <c r="Q63" s="41"/>
      <c r="R63" s="41"/>
      <c r="S63" s="81">
        <f t="shared" si="1"/>
        <v>4283</v>
      </c>
      <c r="T63" s="28">
        <f t="shared" si="2"/>
        <v>8566</v>
      </c>
      <c r="U63" s="41"/>
      <c r="V63" s="41"/>
      <c r="W63" s="81">
        <f t="shared" si="3"/>
        <v>8566</v>
      </c>
    </row>
    <row r="64" spans="1:23" ht="29.25">
      <c r="A64" s="234" t="s">
        <v>7</v>
      </c>
      <c r="B64" s="56" t="s">
        <v>157</v>
      </c>
      <c r="C64" s="370" t="s">
        <v>593</v>
      </c>
      <c r="D64" s="376"/>
      <c r="E64" s="370">
        <v>1</v>
      </c>
      <c r="F64" s="375" t="s">
        <v>516</v>
      </c>
      <c r="G64" s="370" t="s">
        <v>517</v>
      </c>
      <c r="H64" s="302" t="s">
        <v>594</v>
      </c>
      <c r="I64" s="370">
        <v>83425909</v>
      </c>
      <c r="J64" s="335" t="s">
        <v>149</v>
      </c>
      <c r="K64" s="314">
        <v>0.7</v>
      </c>
      <c r="L64" s="28">
        <f>4442-3588</f>
        <v>854</v>
      </c>
      <c r="M64" s="41"/>
      <c r="N64" s="41"/>
      <c r="O64" s="81">
        <f t="shared" si="0"/>
        <v>854</v>
      </c>
      <c r="P64" s="28">
        <f>4442-3588</f>
        <v>854</v>
      </c>
      <c r="Q64" s="41"/>
      <c r="R64" s="41"/>
      <c r="S64" s="81">
        <f t="shared" si="1"/>
        <v>854</v>
      </c>
      <c r="T64" s="28">
        <f t="shared" si="2"/>
        <v>1708</v>
      </c>
      <c r="U64" s="41"/>
      <c r="V64" s="41"/>
      <c r="W64" s="81">
        <f t="shared" si="3"/>
        <v>1708</v>
      </c>
    </row>
    <row r="65" spans="1:23" ht="29.25">
      <c r="A65" s="234" t="s">
        <v>7</v>
      </c>
      <c r="B65" s="56" t="s">
        <v>157</v>
      </c>
      <c r="C65" s="370" t="s">
        <v>595</v>
      </c>
      <c r="D65" s="376"/>
      <c r="E65" s="370"/>
      <c r="F65" s="375" t="s">
        <v>516</v>
      </c>
      <c r="G65" s="370" t="s">
        <v>517</v>
      </c>
      <c r="H65" s="302" t="s">
        <v>596</v>
      </c>
      <c r="I65" s="370">
        <v>83426591</v>
      </c>
      <c r="J65" s="335" t="s">
        <v>149</v>
      </c>
      <c r="K65" s="314">
        <v>0.1</v>
      </c>
      <c r="L65" s="28">
        <f>28998-23205</f>
        <v>5793</v>
      </c>
      <c r="M65" s="41"/>
      <c r="N65" s="41"/>
      <c r="O65" s="81">
        <f t="shared" si="0"/>
        <v>5793</v>
      </c>
      <c r="P65" s="28">
        <f>28998-23205</f>
        <v>5793</v>
      </c>
      <c r="Q65" s="41"/>
      <c r="R65" s="41"/>
      <c r="S65" s="81">
        <f t="shared" si="1"/>
        <v>5793</v>
      </c>
      <c r="T65" s="28">
        <f t="shared" si="2"/>
        <v>11586</v>
      </c>
      <c r="U65" s="41"/>
      <c r="V65" s="41"/>
      <c r="W65" s="81">
        <f t="shared" si="3"/>
        <v>11586</v>
      </c>
    </row>
    <row r="66" spans="1:23" ht="29.25">
      <c r="A66" s="234" t="s">
        <v>7</v>
      </c>
      <c r="B66" s="56" t="s">
        <v>157</v>
      </c>
      <c r="C66" s="370" t="s">
        <v>597</v>
      </c>
      <c r="D66" s="376"/>
      <c r="E66" s="370"/>
      <c r="F66" s="375" t="s">
        <v>516</v>
      </c>
      <c r="G66" s="370" t="s">
        <v>517</v>
      </c>
      <c r="H66" s="302" t="s">
        <v>598</v>
      </c>
      <c r="I66" s="370">
        <v>83426593</v>
      </c>
      <c r="J66" s="335" t="s">
        <v>149</v>
      </c>
      <c r="K66" s="314">
        <v>0.4</v>
      </c>
      <c r="L66" s="28">
        <f>8998-8001</f>
        <v>997</v>
      </c>
      <c r="M66" s="41"/>
      <c r="N66" s="41"/>
      <c r="O66" s="81">
        <f t="shared" si="0"/>
        <v>997</v>
      </c>
      <c r="P66" s="28">
        <f>8998-8001</f>
        <v>997</v>
      </c>
      <c r="Q66" s="41"/>
      <c r="R66" s="41"/>
      <c r="S66" s="81">
        <f t="shared" si="1"/>
        <v>997</v>
      </c>
      <c r="T66" s="28">
        <f t="shared" si="2"/>
        <v>1994</v>
      </c>
      <c r="U66" s="41"/>
      <c r="V66" s="41"/>
      <c r="W66" s="81">
        <f t="shared" si="3"/>
        <v>1994</v>
      </c>
    </row>
    <row r="67" spans="1:23" ht="29.25">
      <c r="A67" s="234" t="s">
        <v>7</v>
      </c>
      <c r="B67" s="56" t="s">
        <v>157</v>
      </c>
      <c r="C67" s="370" t="s">
        <v>599</v>
      </c>
      <c r="D67" s="376"/>
      <c r="E67" s="370"/>
      <c r="F67" s="375" t="s">
        <v>516</v>
      </c>
      <c r="G67" s="370" t="s">
        <v>517</v>
      </c>
      <c r="H67" s="302" t="s">
        <v>600</v>
      </c>
      <c r="I67" s="370">
        <v>83426510</v>
      </c>
      <c r="J67" s="335" t="s">
        <v>149</v>
      </c>
      <c r="K67" s="314">
        <v>0.4</v>
      </c>
      <c r="L67" s="28">
        <f>8025-6975</f>
        <v>1050</v>
      </c>
      <c r="M67" s="41"/>
      <c r="N67" s="41"/>
      <c r="O67" s="81">
        <f t="shared" si="0"/>
        <v>1050</v>
      </c>
      <c r="P67" s="28">
        <f>8025-6975</f>
        <v>1050</v>
      </c>
      <c r="Q67" s="41"/>
      <c r="R67" s="41"/>
      <c r="S67" s="81">
        <f t="shared" si="1"/>
        <v>1050</v>
      </c>
      <c r="T67" s="28">
        <f t="shared" si="2"/>
        <v>2100</v>
      </c>
      <c r="U67" s="41"/>
      <c r="V67" s="41"/>
      <c r="W67" s="81">
        <f t="shared" si="3"/>
        <v>2100</v>
      </c>
    </row>
    <row r="68" spans="1:23" ht="29.25">
      <c r="A68" s="234" t="s">
        <v>7</v>
      </c>
      <c r="B68" s="56" t="s">
        <v>157</v>
      </c>
      <c r="C68" s="370" t="s">
        <v>1298</v>
      </c>
      <c r="D68" s="376"/>
      <c r="E68" s="370">
        <v>1</v>
      </c>
      <c r="F68" s="375" t="s">
        <v>516</v>
      </c>
      <c r="G68" s="370" t="s">
        <v>517</v>
      </c>
      <c r="H68" s="302" t="s">
        <v>601</v>
      </c>
      <c r="I68" s="370">
        <v>83425917</v>
      </c>
      <c r="J68" s="335" t="s">
        <v>149</v>
      </c>
      <c r="K68" s="314">
        <v>1.1</v>
      </c>
      <c r="L68" s="28">
        <f>28088-23135</f>
        <v>4953</v>
      </c>
      <c r="M68" s="41"/>
      <c r="N68" s="41"/>
      <c r="O68" s="81">
        <f t="shared" si="0"/>
        <v>4953</v>
      </c>
      <c r="P68" s="28">
        <f>28088-23135</f>
        <v>4953</v>
      </c>
      <c r="Q68" s="41"/>
      <c r="R68" s="41"/>
      <c r="S68" s="81">
        <f t="shared" si="1"/>
        <v>4953</v>
      </c>
      <c r="T68" s="28">
        <f t="shared" si="2"/>
        <v>9906</v>
      </c>
      <c r="U68" s="41"/>
      <c r="V68" s="41"/>
      <c r="W68" s="81">
        <f t="shared" si="3"/>
        <v>9906</v>
      </c>
    </row>
    <row r="69" spans="1:23" ht="29.25">
      <c r="A69" s="234" t="s">
        <v>7</v>
      </c>
      <c r="B69" s="56" t="s">
        <v>157</v>
      </c>
      <c r="C69" s="370" t="s">
        <v>602</v>
      </c>
      <c r="D69" s="376"/>
      <c r="E69" s="370">
        <v>2</v>
      </c>
      <c r="F69" s="375" t="s">
        <v>516</v>
      </c>
      <c r="G69" s="370" t="s">
        <v>517</v>
      </c>
      <c r="H69" s="302" t="s">
        <v>603</v>
      </c>
      <c r="I69" s="370">
        <v>83425894</v>
      </c>
      <c r="J69" s="335" t="s">
        <v>149</v>
      </c>
      <c r="K69" s="314">
        <v>0.6</v>
      </c>
      <c r="L69" s="28">
        <f>12300-9660</f>
        <v>2640</v>
      </c>
      <c r="M69" s="41"/>
      <c r="N69" s="41"/>
      <c r="O69" s="81">
        <f t="shared" si="0"/>
        <v>2640</v>
      </c>
      <c r="P69" s="28">
        <f>12300-9660</f>
        <v>2640</v>
      </c>
      <c r="Q69" s="41"/>
      <c r="R69" s="41"/>
      <c r="S69" s="81">
        <f t="shared" si="1"/>
        <v>2640</v>
      </c>
      <c r="T69" s="28">
        <f t="shared" si="2"/>
        <v>5280</v>
      </c>
      <c r="U69" s="41"/>
      <c r="V69" s="41"/>
      <c r="W69" s="81">
        <f t="shared" si="3"/>
        <v>5280</v>
      </c>
    </row>
    <row r="70" spans="1:23" ht="29.25">
      <c r="A70" s="234" t="s">
        <v>7</v>
      </c>
      <c r="B70" s="56" t="s">
        <v>157</v>
      </c>
      <c r="C70" s="370" t="s">
        <v>604</v>
      </c>
      <c r="D70" s="376"/>
      <c r="E70" s="370">
        <v>1</v>
      </c>
      <c r="F70" s="375" t="s">
        <v>516</v>
      </c>
      <c r="G70" s="370" t="s">
        <v>517</v>
      </c>
      <c r="H70" s="302" t="s">
        <v>605</v>
      </c>
      <c r="I70" s="370">
        <v>83426568</v>
      </c>
      <c r="J70" s="335" t="s">
        <v>149</v>
      </c>
      <c r="K70" s="314">
        <v>1.2</v>
      </c>
      <c r="L70" s="28">
        <f>31173-25423</f>
        <v>5750</v>
      </c>
      <c r="M70" s="41"/>
      <c r="N70" s="41"/>
      <c r="O70" s="81">
        <f t="shared" si="0"/>
        <v>5750</v>
      </c>
      <c r="P70" s="28">
        <f>31173-25423</f>
        <v>5750</v>
      </c>
      <c r="Q70" s="41"/>
      <c r="R70" s="41"/>
      <c r="S70" s="81">
        <f t="shared" si="1"/>
        <v>5750</v>
      </c>
      <c r="T70" s="28">
        <f t="shared" si="2"/>
        <v>11500</v>
      </c>
      <c r="U70" s="41"/>
      <c r="V70" s="41"/>
      <c r="W70" s="81">
        <f t="shared" si="3"/>
        <v>11500</v>
      </c>
    </row>
    <row r="71" spans="1:23" ht="29.25">
      <c r="A71" s="234" t="s">
        <v>7</v>
      </c>
      <c r="B71" s="56" t="s">
        <v>157</v>
      </c>
      <c r="C71" s="370" t="s">
        <v>604</v>
      </c>
      <c r="D71" s="376"/>
      <c r="E71" s="370">
        <v>5</v>
      </c>
      <c r="F71" s="375" t="s">
        <v>516</v>
      </c>
      <c r="G71" s="370" t="s">
        <v>517</v>
      </c>
      <c r="H71" s="302" t="s">
        <v>606</v>
      </c>
      <c r="I71" s="370">
        <v>83426559</v>
      </c>
      <c r="J71" s="335" t="s">
        <v>149</v>
      </c>
      <c r="K71" s="314">
        <v>0.7</v>
      </c>
      <c r="L71" s="28">
        <f>22276-18610</f>
        <v>3666</v>
      </c>
      <c r="M71" s="41"/>
      <c r="N71" s="41"/>
      <c r="O71" s="81">
        <f t="shared" si="0"/>
        <v>3666</v>
      </c>
      <c r="P71" s="28">
        <f>22276-18610</f>
        <v>3666</v>
      </c>
      <c r="Q71" s="41"/>
      <c r="R71" s="41"/>
      <c r="S71" s="81">
        <f t="shared" si="1"/>
        <v>3666</v>
      </c>
      <c r="T71" s="28">
        <f t="shared" si="2"/>
        <v>7332</v>
      </c>
      <c r="U71" s="41"/>
      <c r="V71" s="41"/>
      <c r="W71" s="81">
        <f t="shared" si="3"/>
        <v>7332</v>
      </c>
    </row>
    <row r="72" spans="1:23" ht="29.25">
      <c r="A72" s="234" t="s">
        <v>7</v>
      </c>
      <c r="B72" s="56" t="s">
        <v>157</v>
      </c>
      <c r="C72" s="370" t="s">
        <v>604</v>
      </c>
      <c r="D72" s="376"/>
      <c r="E72" s="370">
        <v>2</v>
      </c>
      <c r="F72" s="375" t="s">
        <v>516</v>
      </c>
      <c r="G72" s="370" t="s">
        <v>517</v>
      </c>
      <c r="H72" s="302" t="s">
        <v>624</v>
      </c>
      <c r="I72" s="519">
        <v>83425820</v>
      </c>
      <c r="J72" s="336" t="s">
        <v>149</v>
      </c>
      <c r="K72" s="314">
        <v>0.5</v>
      </c>
      <c r="L72" s="28">
        <f>9501-7007</f>
        <v>2494</v>
      </c>
      <c r="M72" s="41"/>
      <c r="N72" s="41"/>
      <c r="O72" s="81">
        <f t="shared" si="0"/>
        <v>2494</v>
      </c>
      <c r="P72" s="28">
        <f>9501-7007</f>
        <v>2494</v>
      </c>
      <c r="Q72" s="41"/>
      <c r="R72" s="41"/>
      <c r="S72" s="81">
        <f t="shared" si="1"/>
        <v>2494</v>
      </c>
      <c r="T72" s="28">
        <f t="shared" si="2"/>
        <v>4988</v>
      </c>
      <c r="U72" s="41"/>
      <c r="V72" s="41"/>
      <c r="W72" s="81">
        <f t="shared" si="3"/>
        <v>4988</v>
      </c>
    </row>
    <row r="73" spans="1:23" ht="29.25">
      <c r="A73" s="234" t="s">
        <v>7</v>
      </c>
      <c r="B73" s="56" t="s">
        <v>157</v>
      </c>
      <c r="C73" s="370" t="s">
        <v>604</v>
      </c>
      <c r="D73" s="376"/>
      <c r="E73" s="370">
        <v>4</v>
      </c>
      <c r="F73" s="375" t="s">
        <v>516</v>
      </c>
      <c r="G73" s="370" t="s">
        <v>517</v>
      </c>
      <c r="H73" s="302" t="s">
        <v>607</v>
      </c>
      <c r="I73" s="370">
        <v>83426566</v>
      </c>
      <c r="J73" s="335" t="s">
        <v>149</v>
      </c>
      <c r="K73" s="314">
        <v>1.6</v>
      </c>
      <c r="L73" s="28">
        <f>23405-18957</f>
        <v>4448</v>
      </c>
      <c r="M73" s="41"/>
      <c r="N73" s="41"/>
      <c r="O73" s="81">
        <f t="shared" si="0"/>
        <v>4448</v>
      </c>
      <c r="P73" s="28">
        <f>23405-18957</f>
        <v>4448</v>
      </c>
      <c r="Q73" s="41"/>
      <c r="R73" s="41"/>
      <c r="S73" s="81">
        <f t="shared" si="1"/>
        <v>4448</v>
      </c>
      <c r="T73" s="28">
        <f t="shared" si="2"/>
        <v>8896</v>
      </c>
      <c r="U73" s="41"/>
      <c r="V73" s="41"/>
      <c r="W73" s="81">
        <f t="shared" si="3"/>
        <v>8896</v>
      </c>
    </row>
    <row r="74" spans="1:23" ht="29.25">
      <c r="A74" s="234" t="s">
        <v>7</v>
      </c>
      <c r="B74" s="56" t="s">
        <v>157</v>
      </c>
      <c r="C74" s="376" t="s">
        <v>608</v>
      </c>
      <c r="D74" s="376"/>
      <c r="E74" s="370"/>
      <c r="F74" s="375" t="s">
        <v>516</v>
      </c>
      <c r="G74" s="370" t="s">
        <v>517</v>
      </c>
      <c r="H74" s="302" t="s">
        <v>609</v>
      </c>
      <c r="I74" s="370">
        <v>83426558</v>
      </c>
      <c r="J74" s="335" t="s">
        <v>149</v>
      </c>
      <c r="K74" s="314">
        <v>2.2</v>
      </c>
      <c r="L74" s="28">
        <f>10151-8052</f>
        <v>2099</v>
      </c>
      <c r="M74" s="41"/>
      <c r="N74" s="41"/>
      <c r="O74" s="81">
        <f t="shared" si="0"/>
        <v>2099</v>
      </c>
      <c r="P74" s="28">
        <f>10151-8052</f>
        <v>2099</v>
      </c>
      <c r="Q74" s="41"/>
      <c r="R74" s="41"/>
      <c r="S74" s="81">
        <f t="shared" si="1"/>
        <v>2099</v>
      </c>
      <c r="T74" s="28">
        <f t="shared" si="2"/>
        <v>4198</v>
      </c>
      <c r="U74" s="41"/>
      <c r="V74" s="41"/>
      <c r="W74" s="81">
        <f t="shared" si="3"/>
        <v>4198</v>
      </c>
    </row>
    <row r="75" spans="1:23" ht="29.25">
      <c r="A75" s="234" t="s">
        <v>7</v>
      </c>
      <c r="B75" s="56" t="s">
        <v>157</v>
      </c>
      <c r="C75" s="370" t="s">
        <v>619</v>
      </c>
      <c r="D75" s="376"/>
      <c r="E75" s="370">
        <v>1</v>
      </c>
      <c r="F75" s="375" t="s">
        <v>516</v>
      </c>
      <c r="G75" s="370" t="s">
        <v>517</v>
      </c>
      <c r="H75" s="302" t="s">
        <v>623</v>
      </c>
      <c r="I75" s="519">
        <v>83426606</v>
      </c>
      <c r="J75" s="336" t="s">
        <v>149</v>
      </c>
      <c r="K75" s="314">
        <v>0.6</v>
      </c>
      <c r="L75" s="28">
        <f>5856-5078</f>
        <v>778</v>
      </c>
      <c r="M75" s="91"/>
      <c r="N75" s="41"/>
      <c r="O75" s="81">
        <f t="shared" si="0"/>
        <v>778</v>
      </c>
      <c r="P75" s="28">
        <f>5856-5078</f>
        <v>778</v>
      </c>
      <c r="Q75" s="91"/>
      <c r="R75" s="41"/>
      <c r="S75" s="81">
        <f t="shared" si="1"/>
        <v>778</v>
      </c>
      <c r="T75" s="28">
        <f t="shared" si="2"/>
        <v>1556</v>
      </c>
      <c r="U75" s="91"/>
      <c r="V75" s="41"/>
      <c r="W75" s="81">
        <f t="shared" si="3"/>
        <v>1556</v>
      </c>
    </row>
    <row r="76" spans="1:23" ht="29.25">
      <c r="A76" s="234" t="s">
        <v>7</v>
      </c>
      <c r="B76" s="56" t="s">
        <v>157</v>
      </c>
      <c r="C76" s="370" t="s">
        <v>619</v>
      </c>
      <c r="D76" s="376"/>
      <c r="E76" s="370"/>
      <c r="F76" s="375" t="s">
        <v>516</v>
      </c>
      <c r="G76" s="370" t="s">
        <v>517</v>
      </c>
      <c r="H76" s="302" t="s">
        <v>622</v>
      </c>
      <c r="I76" s="519">
        <v>83426071</v>
      </c>
      <c r="J76" s="336" t="s">
        <v>149</v>
      </c>
      <c r="K76" s="314">
        <v>0.5</v>
      </c>
      <c r="L76" s="28">
        <f>11788-9350</f>
        <v>2438</v>
      </c>
      <c r="M76" s="41"/>
      <c r="N76" s="41"/>
      <c r="O76" s="81">
        <f t="shared" si="0"/>
        <v>2438</v>
      </c>
      <c r="P76" s="28">
        <f>11788-9350</f>
        <v>2438</v>
      </c>
      <c r="Q76" s="41"/>
      <c r="R76" s="41"/>
      <c r="S76" s="81">
        <f t="shared" si="1"/>
        <v>2438</v>
      </c>
      <c r="T76" s="28">
        <f t="shared" si="2"/>
        <v>4876</v>
      </c>
      <c r="U76" s="41"/>
      <c r="V76" s="41"/>
      <c r="W76" s="81">
        <f t="shared" si="3"/>
        <v>4876</v>
      </c>
    </row>
    <row r="77" spans="1:23" ht="29.25">
      <c r="A77" s="234" t="s">
        <v>7</v>
      </c>
      <c r="B77" s="56" t="s">
        <v>157</v>
      </c>
      <c r="C77" s="370" t="s">
        <v>610</v>
      </c>
      <c r="D77" s="376"/>
      <c r="E77" s="370">
        <v>2</v>
      </c>
      <c r="F77" s="375" t="s">
        <v>516</v>
      </c>
      <c r="G77" s="370" t="s">
        <v>517</v>
      </c>
      <c r="H77" s="302" t="s">
        <v>611</v>
      </c>
      <c r="I77" s="370">
        <v>83426452</v>
      </c>
      <c r="J77" s="335" t="s">
        <v>149</v>
      </c>
      <c r="K77" s="314">
        <v>0.8</v>
      </c>
      <c r="L77" s="28">
        <f>18642-14895</f>
        <v>3747</v>
      </c>
      <c r="M77" s="41"/>
      <c r="N77" s="41"/>
      <c r="O77" s="81">
        <f t="shared" si="0"/>
        <v>3747</v>
      </c>
      <c r="P77" s="28">
        <f>18642-14895</f>
        <v>3747</v>
      </c>
      <c r="Q77" s="41"/>
      <c r="R77" s="41"/>
      <c r="S77" s="81">
        <f t="shared" si="1"/>
        <v>3747</v>
      </c>
      <c r="T77" s="28">
        <f t="shared" si="2"/>
        <v>7494</v>
      </c>
      <c r="U77" s="41"/>
      <c r="V77" s="41"/>
      <c r="W77" s="81">
        <f t="shared" si="3"/>
        <v>7494</v>
      </c>
    </row>
    <row r="78" spans="1:23" ht="29.25">
      <c r="A78" s="234" t="s">
        <v>7</v>
      </c>
      <c r="B78" s="56" t="s">
        <v>157</v>
      </c>
      <c r="C78" s="370" t="s">
        <v>579</v>
      </c>
      <c r="D78" s="376"/>
      <c r="E78" s="370"/>
      <c r="F78" s="375" t="s">
        <v>516</v>
      </c>
      <c r="G78" s="370" t="s">
        <v>517</v>
      </c>
      <c r="H78" s="302" t="s">
        <v>612</v>
      </c>
      <c r="I78" s="370">
        <v>83426012</v>
      </c>
      <c r="J78" s="335" t="s">
        <v>149</v>
      </c>
      <c r="K78" s="314">
        <v>1</v>
      </c>
      <c r="L78" s="28">
        <f>17586-15978</f>
        <v>1608</v>
      </c>
      <c r="M78" s="41"/>
      <c r="N78" s="41"/>
      <c r="O78" s="81">
        <f t="shared" si="0"/>
        <v>1608</v>
      </c>
      <c r="P78" s="28">
        <f>17586-15978</f>
        <v>1608</v>
      </c>
      <c r="Q78" s="41"/>
      <c r="R78" s="41"/>
      <c r="S78" s="81">
        <f t="shared" si="1"/>
        <v>1608</v>
      </c>
      <c r="T78" s="28">
        <f t="shared" si="2"/>
        <v>3216</v>
      </c>
      <c r="U78" s="41"/>
      <c r="V78" s="41"/>
      <c r="W78" s="81">
        <f t="shared" si="3"/>
        <v>3216</v>
      </c>
    </row>
    <row r="79" spans="1:23" ht="29.25">
      <c r="A79" s="234" t="s">
        <v>7</v>
      </c>
      <c r="B79" s="56" t="s">
        <v>157</v>
      </c>
      <c r="C79" s="370" t="s">
        <v>613</v>
      </c>
      <c r="D79" s="376"/>
      <c r="E79" s="370">
        <v>1</v>
      </c>
      <c r="F79" s="375" t="s">
        <v>516</v>
      </c>
      <c r="G79" s="370" t="s">
        <v>517</v>
      </c>
      <c r="H79" s="302" t="s">
        <v>614</v>
      </c>
      <c r="I79" s="370">
        <v>83426466</v>
      </c>
      <c r="J79" s="335" t="s">
        <v>149</v>
      </c>
      <c r="K79" s="314">
        <v>0.7</v>
      </c>
      <c r="L79" s="28">
        <f>15492-12848</f>
        <v>2644</v>
      </c>
      <c r="M79" s="41"/>
      <c r="N79" s="41"/>
      <c r="O79" s="81">
        <f t="shared" si="0"/>
        <v>2644</v>
      </c>
      <c r="P79" s="28">
        <f>15492-12848</f>
        <v>2644</v>
      </c>
      <c r="Q79" s="41"/>
      <c r="R79" s="41"/>
      <c r="S79" s="81">
        <f t="shared" si="1"/>
        <v>2644</v>
      </c>
      <c r="T79" s="28">
        <f t="shared" si="2"/>
        <v>5288</v>
      </c>
      <c r="U79" s="41"/>
      <c r="V79" s="41"/>
      <c r="W79" s="81">
        <f t="shared" si="3"/>
        <v>5288</v>
      </c>
    </row>
    <row r="80" spans="1:23" ht="29.25">
      <c r="A80" s="234" t="s">
        <v>7</v>
      </c>
      <c r="B80" s="56" t="s">
        <v>157</v>
      </c>
      <c r="C80" s="370" t="s">
        <v>581</v>
      </c>
      <c r="D80" s="376"/>
      <c r="E80" s="370">
        <v>3</v>
      </c>
      <c r="F80" s="375" t="s">
        <v>516</v>
      </c>
      <c r="G80" s="370" t="s">
        <v>517</v>
      </c>
      <c r="H80" s="302" t="s">
        <v>615</v>
      </c>
      <c r="I80" s="370">
        <v>83425883</v>
      </c>
      <c r="J80" s="335" t="s">
        <v>149</v>
      </c>
      <c r="K80" s="314">
        <v>1</v>
      </c>
      <c r="L80" s="28">
        <f>12128-10245</f>
        <v>1883</v>
      </c>
      <c r="M80" s="41"/>
      <c r="N80" s="41"/>
      <c r="O80" s="81">
        <f t="shared" si="0"/>
        <v>1883</v>
      </c>
      <c r="P80" s="28">
        <f>12128-10245</f>
        <v>1883</v>
      </c>
      <c r="Q80" s="41"/>
      <c r="R80" s="41"/>
      <c r="S80" s="81">
        <f t="shared" si="1"/>
        <v>1883</v>
      </c>
      <c r="T80" s="28">
        <f t="shared" si="2"/>
        <v>3766</v>
      </c>
      <c r="U80" s="41"/>
      <c r="V80" s="41"/>
      <c r="W80" s="81">
        <f t="shared" si="3"/>
        <v>3766</v>
      </c>
    </row>
    <row r="81" spans="1:23" ht="29.25">
      <c r="A81" s="234" t="s">
        <v>7</v>
      </c>
      <c r="B81" s="56" t="s">
        <v>157</v>
      </c>
      <c r="C81" s="370" t="s">
        <v>593</v>
      </c>
      <c r="D81" s="376"/>
      <c r="E81" s="370">
        <v>2</v>
      </c>
      <c r="F81" s="375" t="s">
        <v>516</v>
      </c>
      <c r="G81" s="370" t="s">
        <v>517</v>
      </c>
      <c r="H81" s="302" t="s">
        <v>616</v>
      </c>
      <c r="I81" s="370">
        <v>83426567</v>
      </c>
      <c r="J81" s="335" t="s">
        <v>149</v>
      </c>
      <c r="K81" s="314">
        <v>0.6</v>
      </c>
      <c r="L81" s="28">
        <f>3967-3188</f>
        <v>779</v>
      </c>
      <c r="M81" s="41"/>
      <c r="N81" s="41"/>
      <c r="O81" s="81">
        <f t="shared" si="0"/>
        <v>779</v>
      </c>
      <c r="P81" s="28">
        <f>3967-3188</f>
        <v>779</v>
      </c>
      <c r="Q81" s="41"/>
      <c r="R81" s="41"/>
      <c r="S81" s="81">
        <f t="shared" si="1"/>
        <v>779</v>
      </c>
      <c r="T81" s="28">
        <f t="shared" si="2"/>
        <v>1558</v>
      </c>
      <c r="U81" s="41"/>
      <c r="V81" s="41"/>
      <c r="W81" s="81">
        <f t="shared" si="3"/>
        <v>1558</v>
      </c>
    </row>
    <row r="82" spans="1:23" ht="29.25">
      <c r="A82" s="234" t="s">
        <v>7</v>
      </c>
      <c r="B82" s="56" t="s">
        <v>157</v>
      </c>
      <c r="C82" s="370" t="s">
        <v>593</v>
      </c>
      <c r="D82" s="376"/>
      <c r="E82" s="370">
        <v>3</v>
      </c>
      <c r="F82" s="375" t="s">
        <v>516</v>
      </c>
      <c r="G82" s="370" t="s">
        <v>517</v>
      </c>
      <c r="H82" s="302" t="s">
        <v>617</v>
      </c>
      <c r="I82" s="370">
        <v>83425876</v>
      </c>
      <c r="J82" s="335" t="s">
        <v>149</v>
      </c>
      <c r="K82" s="314">
        <v>0.6</v>
      </c>
      <c r="L82" s="28">
        <f>13845-10955</f>
        <v>2890</v>
      </c>
      <c r="M82" s="41"/>
      <c r="N82" s="41"/>
      <c r="O82" s="81">
        <f t="shared" si="0"/>
        <v>2890</v>
      </c>
      <c r="P82" s="28">
        <f>13845-10955</f>
        <v>2890</v>
      </c>
      <c r="Q82" s="41"/>
      <c r="R82" s="41"/>
      <c r="S82" s="81">
        <f t="shared" si="1"/>
        <v>2890</v>
      </c>
      <c r="T82" s="28">
        <f t="shared" si="2"/>
        <v>5780</v>
      </c>
      <c r="U82" s="41"/>
      <c r="V82" s="41"/>
      <c r="W82" s="81">
        <f t="shared" si="3"/>
        <v>5780</v>
      </c>
    </row>
    <row r="83" spans="1:23" ht="29.25">
      <c r="A83" s="234" t="s">
        <v>7</v>
      </c>
      <c r="B83" s="56" t="s">
        <v>157</v>
      </c>
      <c r="C83" s="370" t="s">
        <v>604</v>
      </c>
      <c r="D83" s="376"/>
      <c r="E83" s="370">
        <v>3</v>
      </c>
      <c r="F83" s="375" t="s">
        <v>516</v>
      </c>
      <c r="G83" s="370" t="s">
        <v>517</v>
      </c>
      <c r="H83" s="302" t="s">
        <v>618</v>
      </c>
      <c r="I83" s="370">
        <v>83426410</v>
      </c>
      <c r="J83" s="335" t="s">
        <v>149</v>
      </c>
      <c r="K83" s="314">
        <v>1.5</v>
      </c>
      <c r="L83" s="28">
        <f>6010-4470</f>
        <v>1540</v>
      </c>
      <c r="M83" s="41"/>
      <c r="N83" s="41"/>
      <c r="O83" s="81">
        <f aca="true" t="shared" si="4" ref="O83:O105">L83</f>
        <v>1540</v>
      </c>
      <c r="P83" s="28">
        <f>6010-4470</f>
        <v>1540</v>
      </c>
      <c r="Q83" s="41"/>
      <c r="R83" s="41"/>
      <c r="S83" s="81">
        <f aca="true" t="shared" si="5" ref="S83:S105">P83</f>
        <v>1540</v>
      </c>
      <c r="T83" s="28">
        <f aca="true" t="shared" si="6" ref="T83:T105">O83+P83</f>
        <v>3080</v>
      </c>
      <c r="U83" s="41"/>
      <c r="V83" s="41"/>
      <c r="W83" s="81">
        <f aca="true" t="shared" si="7" ref="W83:W105">T83</f>
        <v>3080</v>
      </c>
    </row>
    <row r="84" spans="1:23" ht="29.25">
      <c r="A84" s="234" t="s">
        <v>7</v>
      </c>
      <c r="B84" s="56" t="s">
        <v>157</v>
      </c>
      <c r="C84" s="370" t="s">
        <v>619</v>
      </c>
      <c r="D84" s="376"/>
      <c r="E84" s="370">
        <v>1</v>
      </c>
      <c r="F84" s="375" t="s">
        <v>516</v>
      </c>
      <c r="G84" s="370" t="s">
        <v>517</v>
      </c>
      <c r="H84" s="302" t="s">
        <v>620</v>
      </c>
      <c r="I84" s="370">
        <v>83426031</v>
      </c>
      <c r="J84" s="335" t="s">
        <v>149</v>
      </c>
      <c r="K84" s="314">
        <v>0.5</v>
      </c>
      <c r="L84" s="28">
        <f>10268-9399</f>
        <v>869</v>
      </c>
      <c r="M84" s="627"/>
      <c r="N84" s="41"/>
      <c r="O84" s="81">
        <f t="shared" si="4"/>
        <v>869</v>
      </c>
      <c r="P84" s="28">
        <f>10268-9399</f>
        <v>869</v>
      </c>
      <c r="Q84" s="627"/>
      <c r="R84" s="41"/>
      <c r="S84" s="81">
        <f t="shared" si="5"/>
        <v>869</v>
      </c>
      <c r="T84" s="28">
        <f t="shared" si="6"/>
        <v>1738</v>
      </c>
      <c r="U84" s="627"/>
      <c r="V84" s="41"/>
      <c r="W84" s="81">
        <f t="shared" si="7"/>
        <v>1738</v>
      </c>
    </row>
    <row r="85" spans="1:23" ht="29.25">
      <c r="A85" s="234" t="s">
        <v>7</v>
      </c>
      <c r="B85" s="56" t="s">
        <v>157</v>
      </c>
      <c r="C85" s="370" t="s">
        <v>610</v>
      </c>
      <c r="D85" s="376"/>
      <c r="E85" s="370">
        <v>1</v>
      </c>
      <c r="F85" s="375" t="s">
        <v>516</v>
      </c>
      <c r="G85" s="370" t="s">
        <v>517</v>
      </c>
      <c r="H85" s="302" t="s">
        <v>621</v>
      </c>
      <c r="I85" s="519">
        <v>83425901</v>
      </c>
      <c r="J85" s="335" t="s">
        <v>149</v>
      </c>
      <c r="K85" s="314">
        <v>0.6</v>
      </c>
      <c r="L85" s="28">
        <v>3634</v>
      </c>
      <c r="M85" s="41"/>
      <c r="N85" s="41"/>
      <c r="O85" s="81">
        <f t="shared" si="4"/>
        <v>3634</v>
      </c>
      <c r="P85" s="28">
        <v>3634</v>
      </c>
      <c r="Q85" s="41"/>
      <c r="R85" s="41"/>
      <c r="S85" s="81">
        <f t="shared" si="5"/>
        <v>3634</v>
      </c>
      <c r="T85" s="28">
        <f t="shared" si="6"/>
        <v>7268</v>
      </c>
      <c r="U85" s="41"/>
      <c r="V85" s="41"/>
      <c r="W85" s="81">
        <f t="shared" si="7"/>
        <v>7268</v>
      </c>
    </row>
    <row r="86" spans="1:23" ht="29.25">
      <c r="A86" s="234" t="s">
        <v>7</v>
      </c>
      <c r="B86" s="56" t="s">
        <v>157</v>
      </c>
      <c r="C86" s="370" t="s">
        <v>627</v>
      </c>
      <c r="D86" s="376"/>
      <c r="E86" s="370"/>
      <c r="F86" s="375" t="s">
        <v>516</v>
      </c>
      <c r="G86" s="370" t="s">
        <v>517</v>
      </c>
      <c r="H86" s="302" t="s">
        <v>628</v>
      </c>
      <c r="I86" s="519">
        <v>83426132</v>
      </c>
      <c r="J86" s="335" t="s">
        <v>149</v>
      </c>
      <c r="K86" s="314">
        <v>2.2</v>
      </c>
      <c r="L86" s="12">
        <f>5275-4095</f>
        <v>1180</v>
      </c>
      <c r="M86" s="41"/>
      <c r="N86" s="41"/>
      <c r="O86" s="81">
        <f t="shared" si="4"/>
        <v>1180</v>
      </c>
      <c r="P86" s="12">
        <f>5275-4095</f>
        <v>1180</v>
      </c>
      <c r="Q86" s="41"/>
      <c r="R86" s="41"/>
      <c r="S86" s="81">
        <f t="shared" si="5"/>
        <v>1180</v>
      </c>
      <c r="T86" s="28">
        <f t="shared" si="6"/>
        <v>2360</v>
      </c>
      <c r="U86" s="41"/>
      <c r="V86" s="41"/>
      <c r="W86" s="81">
        <f t="shared" si="7"/>
        <v>2360</v>
      </c>
    </row>
    <row r="87" spans="1:23" ht="29.25">
      <c r="A87" s="234" t="s">
        <v>7</v>
      </c>
      <c r="B87" s="56" t="s">
        <v>157</v>
      </c>
      <c r="C87" s="370" t="s">
        <v>565</v>
      </c>
      <c r="D87" s="376"/>
      <c r="E87" s="370"/>
      <c r="F87" s="375" t="s">
        <v>516</v>
      </c>
      <c r="G87" s="370" t="s">
        <v>517</v>
      </c>
      <c r="H87" s="302" t="s">
        <v>629</v>
      </c>
      <c r="I87" s="519">
        <v>83426434</v>
      </c>
      <c r="J87" s="335" t="s">
        <v>149</v>
      </c>
      <c r="K87" s="314">
        <v>2.2</v>
      </c>
      <c r="L87" s="12">
        <f>3215-2477</f>
        <v>738</v>
      </c>
      <c r="M87" s="41"/>
      <c r="N87" s="41"/>
      <c r="O87" s="81">
        <f t="shared" si="4"/>
        <v>738</v>
      </c>
      <c r="P87" s="12">
        <f>3215-2477</f>
        <v>738</v>
      </c>
      <c r="Q87" s="41"/>
      <c r="R87" s="41"/>
      <c r="S87" s="81">
        <f t="shared" si="5"/>
        <v>738</v>
      </c>
      <c r="T87" s="28">
        <f t="shared" si="6"/>
        <v>1476</v>
      </c>
      <c r="U87" s="41"/>
      <c r="V87" s="41"/>
      <c r="W87" s="81">
        <f t="shared" si="7"/>
        <v>1476</v>
      </c>
    </row>
    <row r="88" spans="1:23" ht="29.25">
      <c r="A88" s="234" t="s">
        <v>7</v>
      </c>
      <c r="B88" s="56" t="s">
        <v>157</v>
      </c>
      <c r="C88" s="376" t="s">
        <v>574</v>
      </c>
      <c r="D88" s="376"/>
      <c r="E88" s="370"/>
      <c r="F88" s="375" t="s">
        <v>516</v>
      </c>
      <c r="G88" s="370" t="s">
        <v>517</v>
      </c>
      <c r="H88" s="302" t="s">
        <v>575</v>
      </c>
      <c r="I88" s="370">
        <v>83425902</v>
      </c>
      <c r="J88" s="335" t="s">
        <v>149</v>
      </c>
      <c r="K88" s="314">
        <v>0.4</v>
      </c>
      <c r="L88" s="28">
        <f>20240-16211</f>
        <v>4029</v>
      </c>
      <c r="M88" s="41"/>
      <c r="N88" s="41"/>
      <c r="O88" s="81">
        <f t="shared" si="4"/>
        <v>4029</v>
      </c>
      <c r="P88" s="28">
        <f>20240-16211</f>
        <v>4029</v>
      </c>
      <c r="Q88" s="41"/>
      <c r="R88" s="41"/>
      <c r="S88" s="81">
        <f t="shared" si="5"/>
        <v>4029</v>
      </c>
      <c r="T88" s="28">
        <f t="shared" si="6"/>
        <v>8058</v>
      </c>
      <c r="U88" s="41"/>
      <c r="V88" s="41"/>
      <c r="W88" s="81">
        <f t="shared" si="7"/>
        <v>8058</v>
      </c>
    </row>
    <row r="89" spans="1:23" ht="29.25">
      <c r="A89" s="233" t="s">
        <v>7</v>
      </c>
      <c r="B89" s="158" t="s">
        <v>8</v>
      </c>
      <c r="C89" s="372" t="s">
        <v>554</v>
      </c>
      <c r="D89" s="377"/>
      <c r="E89" s="372"/>
      <c r="F89" s="378" t="s">
        <v>516</v>
      </c>
      <c r="G89" s="379" t="s">
        <v>517</v>
      </c>
      <c r="H89" s="302" t="s">
        <v>1748</v>
      </c>
      <c r="I89" s="373">
        <v>83292202</v>
      </c>
      <c r="J89" s="136" t="s">
        <v>149</v>
      </c>
      <c r="K89" s="319">
        <v>1.2</v>
      </c>
      <c r="L89" s="12">
        <f>14814-12571</f>
        <v>2243</v>
      </c>
      <c r="M89" s="41"/>
      <c r="N89" s="41"/>
      <c r="O89" s="81">
        <f t="shared" si="4"/>
        <v>2243</v>
      </c>
      <c r="P89" s="12">
        <f>14814-12571</f>
        <v>2243</v>
      </c>
      <c r="Q89" s="41"/>
      <c r="R89" s="41"/>
      <c r="S89" s="81">
        <f t="shared" si="5"/>
        <v>2243</v>
      </c>
      <c r="T89" s="28">
        <f t="shared" si="6"/>
        <v>4486</v>
      </c>
      <c r="U89" s="41"/>
      <c r="V89" s="41"/>
      <c r="W89" s="81">
        <f t="shared" si="7"/>
        <v>4486</v>
      </c>
    </row>
    <row r="90" spans="1:23" ht="29.25">
      <c r="A90" s="234" t="s">
        <v>7</v>
      </c>
      <c r="B90" s="158" t="s">
        <v>8</v>
      </c>
      <c r="C90" s="372" t="s">
        <v>619</v>
      </c>
      <c r="D90" s="377"/>
      <c r="E90" s="372"/>
      <c r="F90" s="375" t="s">
        <v>516</v>
      </c>
      <c r="G90" s="370" t="s">
        <v>517</v>
      </c>
      <c r="H90" s="302" t="s">
        <v>1750</v>
      </c>
      <c r="I90" s="103">
        <v>90267140</v>
      </c>
      <c r="J90" s="335" t="s">
        <v>149</v>
      </c>
      <c r="K90" s="314">
        <v>7</v>
      </c>
      <c r="L90" s="12">
        <f>12345-7620</f>
        <v>4725</v>
      </c>
      <c r="M90" s="41"/>
      <c r="N90" s="41"/>
      <c r="O90" s="81">
        <f t="shared" si="4"/>
        <v>4725</v>
      </c>
      <c r="P90" s="12">
        <f>12345-7620</f>
        <v>4725</v>
      </c>
      <c r="Q90" s="41"/>
      <c r="R90" s="41"/>
      <c r="S90" s="81">
        <f t="shared" si="5"/>
        <v>4725</v>
      </c>
      <c r="T90" s="28">
        <f t="shared" si="6"/>
        <v>9450</v>
      </c>
      <c r="U90" s="41"/>
      <c r="V90" s="41"/>
      <c r="W90" s="81">
        <f t="shared" si="7"/>
        <v>9450</v>
      </c>
    </row>
    <row r="91" spans="1:23" ht="29.25">
      <c r="A91" s="234" t="s">
        <v>7</v>
      </c>
      <c r="B91" s="158" t="s">
        <v>8</v>
      </c>
      <c r="C91" s="372" t="s">
        <v>517</v>
      </c>
      <c r="D91" s="377"/>
      <c r="E91" s="372"/>
      <c r="F91" s="378" t="s">
        <v>516</v>
      </c>
      <c r="G91" s="379" t="s">
        <v>517</v>
      </c>
      <c r="H91" s="302" t="s">
        <v>1751</v>
      </c>
      <c r="I91" s="103">
        <v>129356</v>
      </c>
      <c r="J91" s="335" t="s">
        <v>149</v>
      </c>
      <c r="K91" s="314">
        <v>0.3</v>
      </c>
      <c r="L91" s="12">
        <f>4431-3386</f>
        <v>1045</v>
      </c>
      <c r="M91" s="41"/>
      <c r="N91" s="41"/>
      <c r="O91" s="81">
        <f t="shared" si="4"/>
        <v>1045</v>
      </c>
      <c r="P91" s="12">
        <f>4431-3386</f>
        <v>1045</v>
      </c>
      <c r="Q91" s="41"/>
      <c r="R91" s="41"/>
      <c r="S91" s="81">
        <f t="shared" si="5"/>
        <v>1045</v>
      </c>
      <c r="T91" s="28">
        <f t="shared" si="6"/>
        <v>2090</v>
      </c>
      <c r="U91" s="41"/>
      <c r="V91" s="41"/>
      <c r="W91" s="81">
        <f t="shared" si="7"/>
        <v>2090</v>
      </c>
    </row>
    <row r="92" spans="1:23" ht="29.25">
      <c r="A92" s="234" t="s">
        <v>7</v>
      </c>
      <c r="B92" s="158" t="s">
        <v>8</v>
      </c>
      <c r="C92" s="372" t="s">
        <v>566</v>
      </c>
      <c r="D92" s="377"/>
      <c r="E92" s="372"/>
      <c r="F92" s="375" t="s">
        <v>516</v>
      </c>
      <c r="G92" s="370" t="s">
        <v>517</v>
      </c>
      <c r="H92" s="302" t="s">
        <v>1905</v>
      </c>
      <c r="I92" s="51">
        <v>83558003</v>
      </c>
      <c r="J92" s="136" t="s">
        <v>149</v>
      </c>
      <c r="K92" s="314">
        <v>1</v>
      </c>
      <c r="L92" s="12">
        <f>4718-2202</f>
        <v>2516</v>
      </c>
      <c r="M92" s="41"/>
      <c r="N92" s="41"/>
      <c r="O92" s="81">
        <f t="shared" si="4"/>
        <v>2516</v>
      </c>
      <c r="P92" s="12">
        <f>4718-2202</f>
        <v>2516</v>
      </c>
      <c r="Q92" s="41"/>
      <c r="R92" s="41"/>
      <c r="S92" s="81">
        <f t="shared" si="5"/>
        <v>2516</v>
      </c>
      <c r="T92" s="28">
        <f t="shared" si="6"/>
        <v>5032</v>
      </c>
      <c r="U92" s="41"/>
      <c r="V92" s="41"/>
      <c r="W92" s="81">
        <f t="shared" si="7"/>
        <v>5032</v>
      </c>
    </row>
    <row r="93" spans="1:23" ht="29.25">
      <c r="A93" s="234" t="s">
        <v>7</v>
      </c>
      <c r="B93" s="352" t="s">
        <v>8</v>
      </c>
      <c r="C93" s="642" t="s">
        <v>517</v>
      </c>
      <c r="D93" s="372" t="s">
        <v>395</v>
      </c>
      <c r="E93" s="372"/>
      <c r="F93" s="373" t="s">
        <v>516</v>
      </c>
      <c r="G93" s="373" t="s">
        <v>517</v>
      </c>
      <c r="H93" s="302" t="s">
        <v>1749</v>
      </c>
      <c r="I93" s="103">
        <v>83426045</v>
      </c>
      <c r="J93" s="136" t="s">
        <v>149</v>
      </c>
      <c r="K93" s="231">
        <v>1</v>
      </c>
      <c r="L93" s="12">
        <f>9538-7614</f>
        <v>1924</v>
      </c>
      <c r="M93" s="41"/>
      <c r="N93" s="41"/>
      <c r="O93" s="81">
        <f t="shared" si="4"/>
        <v>1924</v>
      </c>
      <c r="P93" s="12">
        <f>9538-7614</f>
        <v>1924</v>
      </c>
      <c r="Q93" s="41"/>
      <c r="R93" s="41"/>
      <c r="S93" s="81">
        <f t="shared" si="5"/>
        <v>1924</v>
      </c>
      <c r="T93" s="28">
        <f t="shared" si="6"/>
        <v>3848</v>
      </c>
      <c r="U93" s="41"/>
      <c r="V93" s="41"/>
      <c r="W93" s="81">
        <f t="shared" si="7"/>
        <v>3848</v>
      </c>
    </row>
    <row r="94" spans="1:23" ht="29.25">
      <c r="A94" s="234" t="s">
        <v>7</v>
      </c>
      <c r="B94" s="56" t="s">
        <v>157</v>
      </c>
      <c r="C94" s="372" t="s">
        <v>1743</v>
      </c>
      <c r="D94" s="377"/>
      <c r="E94" s="372"/>
      <c r="F94" s="375" t="s">
        <v>516</v>
      </c>
      <c r="G94" s="370" t="s">
        <v>517</v>
      </c>
      <c r="H94" s="302" t="s">
        <v>1744</v>
      </c>
      <c r="I94" s="103">
        <v>1382668</v>
      </c>
      <c r="J94" s="136" t="s">
        <v>149</v>
      </c>
      <c r="K94" s="314">
        <v>4</v>
      </c>
      <c r="L94" s="12">
        <f>35790-26880</f>
        <v>8910</v>
      </c>
      <c r="M94" s="41"/>
      <c r="N94" s="41"/>
      <c r="O94" s="81">
        <f t="shared" si="4"/>
        <v>8910</v>
      </c>
      <c r="P94" s="12">
        <f>35790-26880</f>
        <v>8910</v>
      </c>
      <c r="Q94" s="41"/>
      <c r="R94" s="41"/>
      <c r="S94" s="81">
        <f t="shared" si="5"/>
        <v>8910</v>
      </c>
      <c r="T94" s="28">
        <f t="shared" si="6"/>
        <v>17820</v>
      </c>
      <c r="U94" s="41"/>
      <c r="V94" s="41"/>
      <c r="W94" s="81">
        <f t="shared" si="7"/>
        <v>17820</v>
      </c>
    </row>
    <row r="95" spans="1:23" ht="29.25">
      <c r="A95" s="234" t="s">
        <v>7</v>
      </c>
      <c r="B95" s="159" t="s">
        <v>8</v>
      </c>
      <c r="C95" s="371" t="s">
        <v>1745</v>
      </c>
      <c r="D95" s="380"/>
      <c r="E95" s="371"/>
      <c r="F95" s="378" t="s">
        <v>516</v>
      </c>
      <c r="G95" s="379" t="s">
        <v>517</v>
      </c>
      <c r="H95" s="302" t="s">
        <v>1746</v>
      </c>
      <c r="I95" s="371">
        <v>1398821</v>
      </c>
      <c r="J95" s="136" t="s">
        <v>149</v>
      </c>
      <c r="K95" s="319">
        <v>0.8</v>
      </c>
      <c r="L95" s="12">
        <f>8176-7498</f>
        <v>678</v>
      </c>
      <c r="M95" s="41"/>
      <c r="N95" s="41"/>
      <c r="O95" s="81">
        <f t="shared" si="4"/>
        <v>678</v>
      </c>
      <c r="P95" s="12">
        <f>8176-7498</f>
        <v>678</v>
      </c>
      <c r="Q95" s="41"/>
      <c r="R95" s="41"/>
      <c r="S95" s="81">
        <f t="shared" si="5"/>
        <v>678</v>
      </c>
      <c r="T95" s="28">
        <f t="shared" si="6"/>
        <v>1356</v>
      </c>
      <c r="U95" s="41"/>
      <c r="V95" s="41"/>
      <c r="W95" s="81">
        <f t="shared" si="7"/>
        <v>1356</v>
      </c>
    </row>
    <row r="96" spans="1:23" ht="29.25">
      <c r="A96" s="234" t="s">
        <v>7</v>
      </c>
      <c r="B96" s="159" t="s">
        <v>8</v>
      </c>
      <c r="C96" s="371" t="s">
        <v>610</v>
      </c>
      <c r="D96" s="380"/>
      <c r="E96" s="371"/>
      <c r="F96" s="375" t="s">
        <v>516</v>
      </c>
      <c r="G96" s="370" t="s">
        <v>517</v>
      </c>
      <c r="H96" s="303" t="s">
        <v>1747</v>
      </c>
      <c r="I96" s="371">
        <v>249421</v>
      </c>
      <c r="J96" s="230" t="s">
        <v>149</v>
      </c>
      <c r="K96" s="314">
        <v>1.1</v>
      </c>
      <c r="L96" s="49">
        <f>20503-16531</f>
        <v>3972</v>
      </c>
      <c r="M96" s="50"/>
      <c r="N96" s="50"/>
      <c r="O96" s="81">
        <f t="shared" si="4"/>
        <v>3972</v>
      </c>
      <c r="P96" s="49">
        <f>20503-16531</f>
        <v>3972</v>
      </c>
      <c r="Q96" s="50"/>
      <c r="R96" s="50"/>
      <c r="S96" s="81">
        <f t="shared" si="5"/>
        <v>3972</v>
      </c>
      <c r="T96" s="28">
        <f t="shared" si="6"/>
        <v>7944</v>
      </c>
      <c r="U96" s="50"/>
      <c r="V96" s="50"/>
      <c r="W96" s="81">
        <f t="shared" si="7"/>
        <v>7944</v>
      </c>
    </row>
    <row r="97" spans="1:23" ht="29.25">
      <c r="A97" s="234" t="s">
        <v>7</v>
      </c>
      <c r="B97" s="159" t="s">
        <v>8</v>
      </c>
      <c r="C97" s="518" t="s">
        <v>557</v>
      </c>
      <c r="D97" s="517"/>
      <c r="E97" s="371" t="s">
        <v>2025</v>
      </c>
      <c r="F97" s="375" t="s">
        <v>516</v>
      </c>
      <c r="G97" s="370" t="s">
        <v>517</v>
      </c>
      <c r="H97" s="303" t="s">
        <v>2026</v>
      </c>
      <c r="I97" s="48">
        <v>89114915</v>
      </c>
      <c r="J97" s="230" t="s">
        <v>149</v>
      </c>
      <c r="K97" s="314">
        <v>1</v>
      </c>
      <c r="L97" s="49">
        <f>6978-4099</f>
        <v>2879</v>
      </c>
      <c r="M97" s="50"/>
      <c r="N97" s="50"/>
      <c r="O97" s="81">
        <f t="shared" si="4"/>
        <v>2879</v>
      </c>
      <c r="P97" s="49">
        <f>6978-4099</f>
        <v>2879</v>
      </c>
      <c r="Q97" s="50"/>
      <c r="R97" s="50"/>
      <c r="S97" s="81">
        <f t="shared" si="5"/>
        <v>2879</v>
      </c>
      <c r="T97" s="28">
        <f t="shared" si="6"/>
        <v>5758</v>
      </c>
      <c r="U97" s="50"/>
      <c r="V97" s="50"/>
      <c r="W97" s="81">
        <f t="shared" si="7"/>
        <v>5758</v>
      </c>
    </row>
    <row r="98" spans="1:23" ht="29.25">
      <c r="A98" s="234" t="s">
        <v>7</v>
      </c>
      <c r="B98" s="159" t="s">
        <v>8</v>
      </c>
      <c r="C98" s="371" t="s">
        <v>554</v>
      </c>
      <c r="D98" s="517" t="s">
        <v>89</v>
      </c>
      <c r="E98" s="371"/>
      <c r="F98" s="375" t="s">
        <v>516</v>
      </c>
      <c r="G98" s="370" t="s">
        <v>517</v>
      </c>
      <c r="H98" s="303" t="s">
        <v>2024</v>
      </c>
      <c r="I98" s="48">
        <v>89115063</v>
      </c>
      <c r="J98" s="230" t="s">
        <v>149</v>
      </c>
      <c r="K98" s="314">
        <v>1</v>
      </c>
      <c r="L98" s="49">
        <f>1822-1028</f>
        <v>794</v>
      </c>
      <c r="M98" s="50"/>
      <c r="N98" s="50"/>
      <c r="O98" s="81">
        <f t="shared" si="4"/>
        <v>794</v>
      </c>
      <c r="P98" s="49">
        <f>1822-1028</f>
        <v>794</v>
      </c>
      <c r="Q98" s="50"/>
      <c r="R98" s="50"/>
      <c r="S98" s="81">
        <f t="shared" si="5"/>
        <v>794</v>
      </c>
      <c r="T98" s="28">
        <f t="shared" si="6"/>
        <v>1588</v>
      </c>
      <c r="U98" s="50"/>
      <c r="V98" s="50"/>
      <c r="W98" s="81">
        <f t="shared" si="7"/>
        <v>1588</v>
      </c>
    </row>
    <row r="99" spans="1:23" ht="29.25">
      <c r="A99" s="234" t="s">
        <v>7</v>
      </c>
      <c r="B99" s="159" t="s">
        <v>8</v>
      </c>
      <c r="C99" s="518" t="s">
        <v>517</v>
      </c>
      <c r="D99" s="517" t="s">
        <v>532</v>
      </c>
      <c r="E99" s="371"/>
      <c r="F99" s="375" t="s">
        <v>516</v>
      </c>
      <c r="G99" s="370" t="s">
        <v>517</v>
      </c>
      <c r="H99" s="303" t="s">
        <v>2130</v>
      </c>
      <c r="I99" s="48">
        <v>89115105</v>
      </c>
      <c r="J99" s="230" t="s">
        <v>149</v>
      </c>
      <c r="K99" s="314">
        <v>0.3</v>
      </c>
      <c r="L99" s="49">
        <f>1050-658</f>
        <v>392</v>
      </c>
      <c r="M99" s="50"/>
      <c r="N99" s="50"/>
      <c r="O99" s="81">
        <f t="shared" si="4"/>
        <v>392</v>
      </c>
      <c r="P99" s="49">
        <f>1050-658</f>
        <v>392</v>
      </c>
      <c r="Q99" s="50"/>
      <c r="R99" s="50"/>
      <c r="S99" s="81">
        <f t="shared" si="5"/>
        <v>392</v>
      </c>
      <c r="T99" s="28">
        <f t="shared" si="6"/>
        <v>784</v>
      </c>
      <c r="U99" s="50"/>
      <c r="V99" s="50"/>
      <c r="W99" s="81">
        <f t="shared" si="7"/>
        <v>784</v>
      </c>
    </row>
    <row r="100" spans="1:23" ht="29.25">
      <c r="A100" s="234" t="s">
        <v>7</v>
      </c>
      <c r="B100" s="159" t="s">
        <v>8</v>
      </c>
      <c r="C100" s="518" t="s">
        <v>517</v>
      </c>
      <c r="D100" s="517" t="s">
        <v>326</v>
      </c>
      <c r="E100" s="371" t="s">
        <v>2131</v>
      </c>
      <c r="F100" s="375" t="s">
        <v>516</v>
      </c>
      <c r="G100" s="481" t="s">
        <v>517</v>
      </c>
      <c r="H100" s="303" t="s">
        <v>2132</v>
      </c>
      <c r="I100" s="48">
        <v>89115153</v>
      </c>
      <c r="J100" s="230" t="s">
        <v>149</v>
      </c>
      <c r="K100" s="314">
        <v>0.5</v>
      </c>
      <c r="L100" s="49">
        <f>1470-920</f>
        <v>550</v>
      </c>
      <c r="M100" s="50"/>
      <c r="N100" s="50"/>
      <c r="O100" s="81">
        <f t="shared" si="4"/>
        <v>550</v>
      </c>
      <c r="P100" s="49">
        <f>1470-920</f>
        <v>550</v>
      </c>
      <c r="Q100" s="50"/>
      <c r="R100" s="50"/>
      <c r="S100" s="81">
        <f t="shared" si="5"/>
        <v>550</v>
      </c>
      <c r="T100" s="28">
        <f t="shared" si="6"/>
        <v>1100</v>
      </c>
      <c r="U100" s="50"/>
      <c r="V100" s="50"/>
      <c r="W100" s="81">
        <f t="shared" si="7"/>
        <v>1100</v>
      </c>
    </row>
    <row r="101" spans="1:23" ht="29.25">
      <c r="A101" s="234" t="s">
        <v>7</v>
      </c>
      <c r="B101" s="159" t="s">
        <v>8</v>
      </c>
      <c r="C101" s="518" t="s">
        <v>1745</v>
      </c>
      <c r="D101" s="517"/>
      <c r="E101" s="371"/>
      <c r="F101" s="375" t="s">
        <v>516</v>
      </c>
      <c r="G101" s="481" t="s">
        <v>517</v>
      </c>
      <c r="H101" s="303" t="s">
        <v>2231</v>
      </c>
      <c r="I101" s="48">
        <v>92434338</v>
      </c>
      <c r="J101" s="143" t="s">
        <v>147</v>
      </c>
      <c r="K101" s="314">
        <v>1</v>
      </c>
      <c r="L101" s="49">
        <v>1500</v>
      </c>
      <c r="M101" s="50"/>
      <c r="N101" s="50"/>
      <c r="O101" s="81">
        <f t="shared" si="4"/>
        <v>1500</v>
      </c>
      <c r="P101" s="49">
        <v>1500</v>
      </c>
      <c r="Q101" s="50"/>
      <c r="R101" s="50"/>
      <c r="S101" s="81">
        <f t="shared" si="5"/>
        <v>1500</v>
      </c>
      <c r="T101" s="28">
        <f t="shared" si="6"/>
        <v>3000</v>
      </c>
      <c r="U101" s="50"/>
      <c r="V101" s="50"/>
      <c r="W101" s="81">
        <f t="shared" si="7"/>
        <v>3000</v>
      </c>
    </row>
    <row r="102" spans="1:23" ht="29.25">
      <c r="A102" s="234" t="s">
        <v>7</v>
      </c>
      <c r="B102" s="56" t="s">
        <v>8</v>
      </c>
      <c r="C102" s="51" t="s">
        <v>2135</v>
      </c>
      <c r="D102" s="51" t="s">
        <v>490</v>
      </c>
      <c r="E102" s="42" t="s">
        <v>2136</v>
      </c>
      <c r="F102" s="42" t="s">
        <v>516</v>
      </c>
      <c r="G102" s="45" t="s">
        <v>517</v>
      </c>
      <c r="H102" s="572" t="s">
        <v>2137</v>
      </c>
      <c r="I102" s="42">
        <v>92953341</v>
      </c>
      <c r="J102" s="4" t="s">
        <v>147</v>
      </c>
      <c r="K102" s="643">
        <v>1</v>
      </c>
      <c r="L102" s="49">
        <v>500</v>
      </c>
      <c r="M102" s="50"/>
      <c r="N102" s="50"/>
      <c r="O102" s="81">
        <f t="shared" si="4"/>
        <v>500</v>
      </c>
      <c r="P102" s="49">
        <v>500</v>
      </c>
      <c r="Q102" s="50"/>
      <c r="R102" s="50"/>
      <c r="S102" s="81">
        <f t="shared" si="5"/>
        <v>500</v>
      </c>
      <c r="T102" s="28">
        <f t="shared" si="6"/>
        <v>1000</v>
      </c>
      <c r="U102" s="50"/>
      <c r="V102" s="50"/>
      <c r="W102" s="81">
        <f t="shared" si="7"/>
        <v>1000</v>
      </c>
    </row>
    <row r="103" spans="1:23" ht="29.25">
      <c r="A103" s="234" t="s">
        <v>7</v>
      </c>
      <c r="B103" s="56" t="s">
        <v>8</v>
      </c>
      <c r="C103" s="51" t="s">
        <v>517</v>
      </c>
      <c r="D103" s="51" t="s">
        <v>74</v>
      </c>
      <c r="E103" s="42" t="s">
        <v>2133</v>
      </c>
      <c r="F103" s="42" t="s">
        <v>516</v>
      </c>
      <c r="G103" s="45" t="s">
        <v>517</v>
      </c>
      <c r="H103" s="572" t="s">
        <v>2134</v>
      </c>
      <c r="I103" s="42">
        <v>83903927</v>
      </c>
      <c r="J103" s="4" t="s">
        <v>147</v>
      </c>
      <c r="K103" s="643">
        <v>1</v>
      </c>
      <c r="L103" s="49">
        <v>1000</v>
      </c>
      <c r="M103" s="50"/>
      <c r="N103" s="50"/>
      <c r="O103" s="81">
        <f t="shared" si="4"/>
        <v>1000</v>
      </c>
      <c r="P103" s="49">
        <v>1000</v>
      </c>
      <c r="Q103" s="50"/>
      <c r="R103" s="50"/>
      <c r="S103" s="81">
        <f t="shared" si="5"/>
        <v>1000</v>
      </c>
      <c r="T103" s="28">
        <f t="shared" si="6"/>
        <v>2000</v>
      </c>
      <c r="U103" s="50"/>
      <c r="V103" s="50"/>
      <c r="W103" s="81">
        <f t="shared" si="7"/>
        <v>2000</v>
      </c>
    </row>
    <row r="104" spans="1:23" ht="29.25">
      <c r="A104" s="234" t="s">
        <v>7</v>
      </c>
      <c r="B104" s="56" t="s">
        <v>8</v>
      </c>
      <c r="C104" s="51" t="s">
        <v>604</v>
      </c>
      <c r="D104" s="51"/>
      <c r="E104" s="42"/>
      <c r="F104" s="42" t="s">
        <v>516</v>
      </c>
      <c r="G104" s="45" t="s">
        <v>517</v>
      </c>
      <c r="H104" s="572" t="s">
        <v>2232</v>
      </c>
      <c r="I104" s="42">
        <v>92953338</v>
      </c>
      <c r="J104" s="4" t="s">
        <v>147</v>
      </c>
      <c r="K104" s="643">
        <v>2</v>
      </c>
      <c r="L104" s="49">
        <v>1000</v>
      </c>
      <c r="M104" s="50"/>
      <c r="N104" s="50"/>
      <c r="O104" s="81">
        <f t="shared" si="4"/>
        <v>1000</v>
      </c>
      <c r="P104" s="49">
        <v>1000</v>
      </c>
      <c r="Q104" s="50"/>
      <c r="R104" s="50"/>
      <c r="S104" s="81">
        <f t="shared" si="5"/>
        <v>1000</v>
      </c>
      <c r="T104" s="28">
        <f t="shared" si="6"/>
        <v>2000</v>
      </c>
      <c r="U104" s="50"/>
      <c r="V104" s="50"/>
      <c r="W104" s="81">
        <f t="shared" si="7"/>
        <v>2000</v>
      </c>
    </row>
    <row r="105" spans="1:23" ht="30" thickBot="1">
      <c r="A105" s="234" t="s">
        <v>7</v>
      </c>
      <c r="B105" s="56" t="s">
        <v>8</v>
      </c>
      <c r="C105" s="51" t="s">
        <v>604</v>
      </c>
      <c r="D105" s="51"/>
      <c r="E105" s="42" t="s">
        <v>2138</v>
      </c>
      <c r="F105" s="42" t="s">
        <v>516</v>
      </c>
      <c r="G105" s="45" t="s">
        <v>517</v>
      </c>
      <c r="H105" s="572" t="s">
        <v>2139</v>
      </c>
      <c r="I105" s="42">
        <v>92434378</v>
      </c>
      <c r="J105" s="4" t="s">
        <v>147</v>
      </c>
      <c r="K105" s="643">
        <v>1</v>
      </c>
      <c r="L105" s="49">
        <v>800</v>
      </c>
      <c r="M105" s="50"/>
      <c r="N105" s="50"/>
      <c r="O105" s="81">
        <f t="shared" si="4"/>
        <v>800</v>
      </c>
      <c r="P105" s="49">
        <v>800</v>
      </c>
      <c r="Q105" s="50"/>
      <c r="R105" s="50"/>
      <c r="S105" s="81">
        <f t="shared" si="5"/>
        <v>800</v>
      </c>
      <c r="T105" s="28">
        <f t="shared" si="6"/>
        <v>1600</v>
      </c>
      <c r="U105" s="50"/>
      <c r="V105" s="50"/>
      <c r="W105" s="81">
        <f t="shared" si="7"/>
        <v>1600</v>
      </c>
    </row>
    <row r="106" spans="2:23" ht="30">
      <c r="B106" s="428" t="s">
        <v>150</v>
      </c>
      <c r="C106" s="429" t="s">
        <v>1903</v>
      </c>
      <c r="D106" s="396"/>
      <c r="E106" s="430"/>
      <c r="F106" s="430"/>
      <c r="G106" s="521" t="s">
        <v>2030</v>
      </c>
      <c r="H106" s="32" t="s">
        <v>1915</v>
      </c>
      <c r="L106" s="2"/>
      <c r="M106" s="2"/>
      <c r="N106" s="49" t="s">
        <v>151</v>
      </c>
      <c r="O106" s="279">
        <f>SUM(O18:O105)</f>
        <v>282620</v>
      </c>
      <c r="P106" s="2"/>
      <c r="Q106" s="2"/>
      <c r="R106" s="49" t="s">
        <v>151</v>
      </c>
      <c r="S106" s="279">
        <f>SUM(S18:S105)</f>
        <v>282620</v>
      </c>
      <c r="T106" s="2"/>
      <c r="U106" s="2"/>
      <c r="V106" s="49" t="s">
        <v>151</v>
      </c>
      <c r="W106" s="279">
        <f>SUM(W18:W105)</f>
        <v>565240</v>
      </c>
    </row>
    <row r="107" spans="2:8" ht="15">
      <c r="B107" s="247"/>
      <c r="C107" s="431" t="s">
        <v>630</v>
      </c>
      <c r="D107" s="398"/>
      <c r="E107" s="430"/>
      <c r="F107" s="430"/>
      <c r="G107" s="522"/>
      <c r="H107" s="420" t="s">
        <v>630</v>
      </c>
    </row>
    <row r="108" spans="1:15" ht="15.75" thickBot="1">
      <c r="A108" s="46"/>
      <c r="B108" s="247"/>
      <c r="C108" s="431" t="s">
        <v>631</v>
      </c>
      <c r="D108" s="398"/>
      <c r="E108" s="430"/>
      <c r="F108" s="430"/>
      <c r="G108" s="523"/>
      <c r="H108" s="421" t="s">
        <v>631</v>
      </c>
      <c r="I108" s="46"/>
      <c r="J108" s="46"/>
      <c r="K108" s="46"/>
      <c r="L108" s="46"/>
      <c r="M108" s="46"/>
      <c r="N108" s="46"/>
      <c r="O108" s="46"/>
    </row>
    <row r="109" spans="2:14" ht="15">
      <c r="B109" s="247" t="s">
        <v>1640</v>
      </c>
      <c r="C109" s="248">
        <v>8222147162</v>
      </c>
      <c r="D109" s="398"/>
      <c r="E109" s="432"/>
      <c r="F109" s="432"/>
      <c r="G109" s="432"/>
      <c r="H109" s="432"/>
      <c r="M109" s="2"/>
      <c r="N109" s="2"/>
    </row>
    <row r="110" spans="2:14" ht="15.75" thickBot="1">
      <c r="B110" s="200" t="s">
        <v>1644</v>
      </c>
      <c r="C110" s="67" t="s">
        <v>1904</v>
      </c>
      <c r="D110" s="39"/>
      <c r="E110" s="432"/>
      <c r="F110" s="432"/>
      <c r="G110" s="432"/>
      <c r="H110" s="432"/>
      <c r="M110" s="2"/>
      <c r="N110" s="2"/>
    </row>
    <row r="111" spans="2:14" ht="15">
      <c r="B111" s="236"/>
      <c r="C111" s="64"/>
      <c r="D111" s="64"/>
      <c r="M111" s="2"/>
      <c r="N111" s="2"/>
    </row>
    <row r="112" spans="2:14" ht="15">
      <c r="B112" s="236"/>
      <c r="C112" s="64"/>
      <c r="D112" s="64"/>
      <c r="M112" s="2"/>
      <c r="N112" s="2"/>
    </row>
    <row r="113" spans="2:14" ht="15">
      <c r="B113" s="236"/>
      <c r="C113" s="64"/>
      <c r="D113" s="64"/>
      <c r="M113" s="2"/>
      <c r="N113" s="2"/>
    </row>
    <row r="114" spans="2:14" ht="15">
      <c r="B114" s="236"/>
      <c r="C114" s="64"/>
      <c r="D114" s="64"/>
      <c r="M114" s="2" t="s">
        <v>151</v>
      </c>
      <c r="N114" s="2">
        <f>W106</f>
        <v>565240</v>
      </c>
    </row>
    <row r="115" spans="2:14" ht="15.75" thickBot="1">
      <c r="B115" s="245"/>
      <c r="C115" s="248"/>
      <c r="D115" s="244"/>
      <c r="F115" s="29"/>
      <c r="G115" s="29"/>
      <c r="H115" s="29"/>
      <c r="I115" s="29"/>
      <c r="J115" s="29"/>
      <c r="K115" s="29"/>
      <c r="M115" s="2"/>
      <c r="N115" s="2"/>
    </row>
    <row r="116" spans="6:15" ht="48.75" customHeight="1">
      <c r="F116" s="29"/>
      <c r="G116" s="146"/>
      <c r="I116" s="146"/>
      <c r="J116" s="198"/>
      <c r="K116" s="788" t="s">
        <v>152</v>
      </c>
      <c r="L116" s="774" t="s">
        <v>2257</v>
      </c>
      <c r="M116" s="775"/>
      <c r="N116" s="776"/>
      <c r="O116" s="741" t="s">
        <v>153</v>
      </c>
    </row>
    <row r="117" spans="2:15" ht="23.25" customHeight="1">
      <c r="B117" s="64"/>
      <c r="F117" s="29"/>
      <c r="G117" s="146"/>
      <c r="I117" s="194"/>
      <c r="J117" s="198"/>
      <c r="K117" s="789"/>
      <c r="L117" s="701" t="s">
        <v>154</v>
      </c>
      <c r="M117" s="701" t="s">
        <v>1017</v>
      </c>
      <c r="N117" s="701" t="s">
        <v>1018</v>
      </c>
      <c r="O117" s="794"/>
    </row>
    <row r="118" spans="2:15" ht="20.25" customHeight="1">
      <c r="B118" s="64"/>
      <c r="F118" s="29"/>
      <c r="G118" s="146"/>
      <c r="I118" s="194"/>
      <c r="J118" s="198"/>
      <c r="K118" s="694" t="s">
        <v>149</v>
      </c>
      <c r="L118" s="582">
        <f>SUM(W18:W100)</f>
        <v>555640</v>
      </c>
      <c r="M118" s="156"/>
      <c r="N118" s="156"/>
      <c r="O118" s="702">
        <v>83</v>
      </c>
    </row>
    <row r="119" spans="2:15" ht="20.25" customHeight="1" thickBot="1">
      <c r="B119" s="64"/>
      <c r="F119" s="29"/>
      <c r="G119" s="146"/>
      <c r="I119" s="194"/>
      <c r="J119" s="198"/>
      <c r="K119" s="695" t="s">
        <v>147</v>
      </c>
      <c r="L119" s="600">
        <f>SUM(W101:W105)</f>
        <v>9600</v>
      </c>
      <c r="M119" s="323"/>
      <c r="N119" s="323"/>
      <c r="O119" s="591">
        <v>5</v>
      </c>
    </row>
    <row r="120" spans="6:15" ht="20.25" customHeight="1" thickBot="1">
      <c r="F120" s="29"/>
      <c r="G120" s="128"/>
      <c r="I120" s="135"/>
      <c r="J120" s="29"/>
      <c r="K120" s="14" t="s">
        <v>155</v>
      </c>
      <c r="L120" s="337">
        <f>SUM(L118:L119)</f>
        <v>565240</v>
      </c>
      <c r="M120" s="338">
        <f>SUM(M118:M118)</f>
        <v>0</v>
      </c>
      <c r="N120" s="338">
        <f>SUM(N118:N118)</f>
        <v>0</v>
      </c>
      <c r="O120" s="544">
        <f>SUM(O118:O119)</f>
        <v>88</v>
      </c>
    </row>
    <row r="121" spans="6:13" ht="18.75" thickBot="1">
      <c r="F121" s="29"/>
      <c r="G121" s="29"/>
      <c r="H121" s="197"/>
      <c r="I121" s="29"/>
      <c r="J121" s="29"/>
      <c r="L121" s="54" t="s">
        <v>156</v>
      </c>
      <c r="M121" s="273">
        <f>SUM(L120:N120)</f>
        <v>565240</v>
      </c>
    </row>
    <row r="122" spans="6:15" ht="14.25">
      <c r="F122" s="29"/>
      <c r="G122" s="29"/>
      <c r="H122" s="29"/>
      <c r="I122" s="29"/>
      <c r="J122" s="82"/>
      <c r="O122" s="82"/>
    </row>
    <row r="123" spans="6:11" ht="14.25">
      <c r="F123" s="29"/>
      <c r="G123" s="29"/>
      <c r="H123" s="29"/>
      <c r="I123" s="29"/>
      <c r="J123" s="29"/>
      <c r="K123" s="29"/>
    </row>
    <row r="124" ht="14.25">
      <c r="J124" s="29"/>
    </row>
    <row r="125" ht="14.25">
      <c r="J125" s="29"/>
    </row>
    <row r="126" ht="14.25">
      <c r="J126" s="29"/>
    </row>
    <row r="127" spans="7:10" ht="14.25">
      <c r="G127" s="29"/>
      <c r="H127" s="29"/>
      <c r="I127" s="29"/>
      <c r="J127" s="29"/>
    </row>
  </sheetData>
  <sheetProtection/>
  <mergeCells count="23">
    <mergeCell ref="A15:A17"/>
    <mergeCell ref="B15:B17"/>
    <mergeCell ref="C15:C17"/>
    <mergeCell ref="D15:D17"/>
    <mergeCell ref="H15:H17"/>
    <mergeCell ref="E15:E17"/>
    <mergeCell ref="F15:F17"/>
    <mergeCell ref="G15:G17"/>
    <mergeCell ref="I15:I17"/>
    <mergeCell ref="P15:S15"/>
    <mergeCell ref="T15:W15"/>
    <mergeCell ref="P16:S16"/>
    <mergeCell ref="T16:W16"/>
    <mergeCell ref="B1:L1"/>
    <mergeCell ref="B3:I3"/>
    <mergeCell ref="B5:I5"/>
    <mergeCell ref="K116:K117"/>
    <mergeCell ref="L116:N116"/>
    <mergeCell ref="O116:O117"/>
    <mergeCell ref="L16:O16"/>
    <mergeCell ref="J15:J17"/>
    <mergeCell ref="K15:K17"/>
    <mergeCell ref="L15:O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6"/>
  <sheetViews>
    <sheetView zoomScale="50" zoomScaleNormal="50" workbookViewId="0" topLeftCell="A49">
      <selection activeCell="L79" sqref="L79:N79"/>
    </sheetView>
  </sheetViews>
  <sheetFormatPr defaultColWidth="8.796875" defaultRowHeight="14.25"/>
  <cols>
    <col min="1" max="1" width="11.3984375" style="1" customWidth="1"/>
    <col min="2" max="2" width="12.09765625" style="0" customWidth="1"/>
    <col min="3" max="3" width="12.19921875" style="0" customWidth="1"/>
    <col min="4" max="4" width="12.59765625" style="0" customWidth="1"/>
    <col min="5" max="6" width="11.3984375" style="0" customWidth="1"/>
    <col min="7" max="7" width="18" style="0" customWidth="1"/>
    <col min="8" max="8" width="26.09765625" style="0" customWidth="1"/>
    <col min="9" max="9" width="18" style="0" customWidth="1"/>
    <col min="10" max="10" width="12.3984375" style="0" customWidth="1"/>
    <col min="11" max="11" width="11.09765625" style="0" customWidth="1"/>
    <col min="12" max="12" width="13.09765625" style="0" customWidth="1"/>
    <col min="13" max="13" width="15" style="0" customWidth="1"/>
    <col min="14" max="14" width="16.69921875" style="0" customWidth="1"/>
    <col min="15" max="15" width="18.69921875" style="0" customWidth="1"/>
    <col min="16" max="19" width="12.19921875" style="0" customWidth="1"/>
    <col min="20" max="23" width="11.5" style="0" customWidth="1"/>
  </cols>
  <sheetData>
    <row r="1" spans="1:12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0" ht="15">
      <c r="A2"/>
      <c r="B2" s="182"/>
      <c r="C2" s="182"/>
      <c r="D2" s="182"/>
      <c r="E2" s="182"/>
      <c r="F2" s="182"/>
      <c r="G2" s="182"/>
      <c r="H2" s="184"/>
      <c r="I2" s="182"/>
      <c r="J2" s="182"/>
    </row>
    <row r="3" spans="1:10" ht="27" customHeight="1">
      <c r="A3"/>
      <c r="B3" s="782" t="s">
        <v>1029</v>
      </c>
      <c r="C3" s="783"/>
      <c r="D3" s="783"/>
      <c r="E3" s="783"/>
      <c r="F3" s="783"/>
      <c r="G3" s="783"/>
      <c r="H3" s="783"/>
      <c r="I3" s="784"/>
      <c r="J3" s="182"/>
    </row>
    <row r="4" spans="1:10" ht="15">
      <c r="A4"/>
      <c r="B4" s="183"/>
      <c r="C4" s="183"/>
      <c r="D4" s="183"/>
      <c r="E4" s="183"/>
      <c r="F4" s="183"/>
      <c r="G4" s="183"/>
      <c r="H4" s="184"/>
      <c r="I4" s="182"/>
      <c r="J4" s="182"/>
    </row>
    <row r="5" spans="1:10" ht="15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82"/>
    </row>
    <row r="6" spans="1:10" ht="15">
      <c r="A6"/>
      <c r="B6" s="183"/>
      <c r="C6" s="183"/>
      <c r="D6" s="183"/>
      <c r="E6" s="183"/>
      <c r="F6" s="183"/>
      <c r="G6" s="183"/>
      <c r="H6" s="184"/>
      <c r="I6" s="182"/>
      <c r="J6" s="182"/>
    </row>
    <row r="7" spans="1:10" ht="15.75">
      <c r="A7"/>
      <c r="B7" s="383" t="s">
        <v>950</v>
      </c>
      <c r="C7" s="182"/>
      <c r="D7" s="183"/>
      <c r="E7" s="183"/>
      <c r="F7" s="183"/>
      <c r="G7" s="182"/>
      <c r="H7" s="184"/>
      <c r="I7" s="182"/>
      <c r="J7" s="182"/>
    </row>
    <row r="8" spans="1:10" ht="15.75">
      <c r="A8"/>
      <c r="B8" s="383" t="s">
        <v>2031</v>
      </c>
      <c r="C8" s="182"/>
      <c r="D8" s="183"/>
      <c r="E8" s="183"/>
      <c r="F8" s="183"/>
      <c r="G8" s="182"/>
      <c r="H8" s="184"/>
      <c r="I8" s="182"/>
      <c r="J8" s="182"/>
    </row>
    <row r="9" spans="1:15" ht="15.75">
      <c r="A9"/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1:10" ht="15.75">
      <c r="A10"/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</row>
    <row r="11" spans="1:10" ht="15">
      <c r="A11"/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</row>
    <row r="12" spans="1:10" ht="15.75">
      <c r="A12"/>
      <c r="B12" s="188"/>
      <c r="C12" s="189"/>
      <c r="D12" s="187"/>
      <c r="E12" s="187"/>
      <c r="F12" s="187"/>
      <c r="G12" s="187"/>
      <c r="H12" s="182"/>
      <c r="I12" s="182"/>
      <c r="J12" s="182"/>
    </row>
    <row r="13" spans="1:10" ht="15.75">
      <c r="A13"/>
      <c r="B13" s="188" t="s">
        <v>1015</v>
      </c>
      <c r="C13" s="185" t="s">
        <v>1016</v>
      </c>
      <c r="D13" s="187"/>
      <c r="E13" s="187"/>
      <c r="F13" s="187"/>
      <c r="G13" s="187"/>
      <c r="H13" s="182"/>
      <c r="I13" s="182"/>
      <c r="J13" s="182"/>
    </row>
    <row r="14" spans="1:9" ht="15" thickBot="1">
      <c r="A14" s="82"/>
      <c r="B14" s="82"/>
      <c r="C14" s="29"/>
      <c r="D14" s="29"/>
      <c r="E14" s="29"/>
      <c r="F14" s="29"/>
      <c r="G14" s="29"/>
      <c r="H14" s="29"/>
      <c r="I14" s="29"/>
    </row>
    <row r="15" spans="1:23" ht="54" customHeight="1">
      <c r="A15" s="759" t="s">
        <v>0</v>
      </c>
      <c r="B15" s="762" t="s">
        <v>976</v>
      </c>
      <c r="C15" s="765" t="s">
        <v>1</v>
      </c>
      <c r="D15" s="765" t="s">
        <v>2</v>
      </c>
      <c r="E15" s="756" t="s">
        <v>1020</v>
      </c>
      <c r="F15" s="756" t="s">
        <v>3</v>
      </c>
      <c r="G15" s="765" t="s">
        <v>4</v>
      </c>
      <c r="H15" s="756" t="s">
        <v>5</v>
      </c>
      <c r="I15" s="756" t="s">
        <v>738</v>
      </c>
      <c r="J15" s="756" t="s">
        <v>152</v>
      </c>
      <c r="K15" s="779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0.5" customHeight="1">
      <c r="A16" s="760"/>
      <c r="B16" s="763"/>
      <c r="C16" s="766"/>
      <c r="D16" s="766"/>
      <c r="E16" s="757"/>
      <c r="F16" s="757"/>
      <c r="G16" s="766"/>
      <c r="H16" s="757"/>
      <c r="I16" s="770"/>
      <c r="J16" s="757"/>
      <c r="K16" s="780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7.5" customHeight="1" thickBot="1">
      <c r="A17" s="761"/>
      <c r="B17" s="764"/>
      <c r="C17" s="767"/>
      <c r="D17" s="767"/>
      <c r="E17" s="758"/>
      <c r="F17" s="758"/>
      <c r="G17" s="767"/>
      <c r="H17" s="758"/>
      <c r="I17" s="771"/>
      <c r="J17" s="758"/>
      <c r="K17" s="781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8.5">
      <c r="A18" s="603" t="s">
        <v>7</v>
      </c>
      <c r="B18" s="84" t="s">
        <v>8</v>
      </c>
      <c r="C18" s="85" t="s">
        <v>632</v>
      </c>
      <c r="D18" s="86"/>
      <c r="E18" s="87">
        <v>21</v>
      </c>
      <c r="F18" s="87" t="s">
        <v>9</v>
      </c>
      <c r="G18" s="86" t="s">
        <v>10</v>
      </c>
      <c r="H18" s="327" t="s">
        <v>633</v>
      </c>
      <c r="I18" s="88">
        <v>92953231</v>
      </c>
      <c r="J18" s="89" t="s">
        <v>12</v>
      </c>
      <c r="K18" s="90">
        <v>0.6</v>
      </c>
      <c r="L18" s="91"/>
      <c r="M18" s="28">
        <f>685-148</f>
        <v>537</v>
      </c>
      <c r="N18" s="28">
        <f>2506-486</f>
        <v>2020</v>
      </c>
      <c r="O18" s="28">
        <f>SUM(M18:N18)</f>
        <v>2557</v>
      </c>
      <c r="P18" s="91"/>
      <c r="Q18" s="28">
        <f>685-148</f>
        <v>537</v>
      </c>
      <c r="R18" s="28">
        <f>2506-486</f>
        <v>2020</v>
      </c>
      <c r="S18" s="28">
        <f>SUM(Q18:R18)</f>
        <v>2557</v>
      </c>
      <c r="T18" s="91"/>
      <c r="U18" s="28">
        <f>M18+Q18</f>
        <v>1074</v>
      </c>
      <c r="V18" s="28">
        <f>N18+R18</f>
        <v>4040</v>
      </c>
      <c r="W18" s="28">
        <f>SUM(U18:V18)</f>
        <v>5114</v>
      </c>
    </row>
    <row r="19" spans="1:23" ht="28.5">
      <c r="A19" s="603" t="s">
        <v>7</v>
      </c>
      <c r="B19" s="84" t="s">
        <v>8</v>
      </c>
      <c r="C19" s="85" t="s">
        <v>634</v>
      </c>
      <c r="D19" s="86"/>
      <c r="E19" s="87"/>
      <c r="F19" s="87" t="s">
        <v>635</v>
      </c>
      <c r="G19" s="86" t="s">
        <v>636</v>
      </c>
      <c r="H19" s="327" t="s">
        <v>637</v>
      </c>
      <c r="I19" s="42">
        <v>83995703</v>
      </c>
      <c r="J19" s="89" t="s">
        <v>12</v>
      </c>
      <c r="K19" s="90">
        <v>0.3</v>
      </c>
      <c r="L19" s="91"/>
      <c r="M19" s="28">
        <f>910-580</f>
        <v>330</v>
      </c>
      <c r="N19" s="28">
        <f>2056-1298</f>
        <v>758</v>
      </c>
      <c r="O19" s="28">
        <f aca="true" t="shared" si="0" ref="O19:O71">SUM(M19:N19)</f>
        <v>1088</v>
      </c>
      <c r="P19" s="91"/>
      <c r="Q19" s="28">
        <f>910-580</f>
        <v>330</v>
      </c>
      <c r="R19" s="28">
        <f>2056-1298</f>
        <v>758</v>
      </c>
      <c r="S19" s="28">
        <f aca="true" t="shared" si="1" ref="S19:S71">SUM(Q19:R19)</f>
        <v>1088</v>
      </c>
      <c r="T19" s="91"/>
      <c r="U19" s="28">
        <f aca="true" t="shared" si="2" ref="U19:U71">M19+Q19</f>
        <v>660</v>
      </c>
      <c r="V19" s="28">
        <f aca="true" t="shared" si="3" ref="V19:V71">N19+R19</f>
        <v>1516</v>
      </c>
      <c r="W19" s="28">
        <f aca="true" t="shared" si="4" ref="W19:W71">SUM(U19:V19)</f>
        <v>2176</v>
      </c>
    </row>
    <row r="20" spans="1:23" ht="28.5">
      <c r="A20" s="603" t="s">
        <v>7</v>
      </c>
      <c r="B20" s="84" t="s">
        <v>8</v>
      </c>
      <c r="C20" s="85" t="s">
        <v>638</v>
      </c>
      <c r="D20" s="86"/>
      <c r="E20" s="87">
        <v>61</v>
      </c>
      <c r="F20" s="87" t="s">
        <v>9</v>
      </c>
      <c r="G20" s="86" t="s">
        <v>10</v>
      </c>
      <c r="H20" s="327" t="s">
        <v>639</v>
      </c>
      <c r="I20" s="42">
        <v>92953174</v>
      </c>
      <c r="J20" s="89" t="s">
        <v>12</v>
      </c>
      <c r="K20" s="90">
        <v>1.6</v>
      </c>
      <c r="L20" s="91"/>
      <c r="M20" s="28">
        <f>1845-356</f>
        <v>1489</v>
      </c>
      <c r="N20" s="28">
        <f>4788-724</f>
        <v>4064</v>
      </c>
      <c r="O20" s="28">
        <f t="shared" si="0"/>
        <v>5553</v>
      </c>
      <c r="P20" s="91"/>
      <c r="Q20" s="28">
        <f>1845-356</f>
        <v>1489</v>
      </c>
      <c r="R20" s="28">
        <f>4788-724</f>
        <v>4064</v>
      </c>
      <c r="S20" s="28">
        <f t="shared" si="1"/>
        <v>5553</v>
      </c>
      <c r="T20" s="91"/>
      <c r="U20" s="28">
        <f t="shared" si="2"/>
        <v>2978</v>
      </c>
      <c r="V20" s="28">
        <f t="shared" si="3"/>
        <v>8128</v>
      </c>
      <c r="W20" s="28">
        <f t="shared" si="4"/>
        <v>11106</v>
      </c>
    </row>
    <row r="21" spans="1:23" ht="28.5">
      <c r="A21" s="603" t="s">
        <v>7</v>
      </c>
      <c r="B21" s="84" t="s">
        <v>8</v>
      </c>
      <c r="C21" s="85" t="s">
        <v>640</v>
      </c>
      <c r="D21" s="86"/>
      <c r="E21" s="87">
        <v>10</v>
      </c>
      <c r="F21" s="87" t="s">
        <v>9</v>
      </c>
      <c r="G21" s="86" t="s">
        <v>10</v>
      </c>
      <c r="H21" s="327" t="s">
        <v>641</v>
      </c>
      <c r="I21" s="42">
        <v>92953209</v>
      </c>
      <c r="J21" s="89" t="s">
        <v>12</v>
      </c>
      <c r="K21" s="90">
        <v>1.4</v>
      </c>
      <c r="L21" s="91"/>
      <c r="M21" s="28">
        <f>1515-315</f>
        <v>1200</v>
      </c>
      <c r="N21" s="28">
        <f>3735-588</f>
        <v>3147</v>
      </c>
      <c r="O21" s="28">
        <f t="shared" si="0"/>
        <v>4347</v>
      </c>
      <c r="P21" s="91"/>
      <c r="Q21" s="28">
        <f>1515-315</f>
        <v>1200</v>
      </c>
      <c r="R21" s="28">
        <f>3735-588</f>
        <v>3147</v>
      </c>
      <c r="S21" s="28">
        <f t="shared" si="1"/>
        <v>4347</v>
      </c>
      <c r="T21" s="91"/>
      <c r="U21" s="28">
        <f t="shared" si="2"/>
        <v>2400</v>
      </c>
      <c r="V21" s="28">
        <f t="shared" si="3"/>
        <v>6294</v>
      </c>
      <c r="W21" s="28">
        <f t="shared" si="4"/>
        <v>8694</v>
      </c>
    </row>
    <row r="22" spans="1:23" ht="28.5">
      <c r="A22" s="603" t="s">
        <v>7</v>
      </c>
      <c r="B22" s="84" t="s">
        <v>8</v>
      </c>
      <c r="C22" s="85" t="s">
        <v>1786</v>
      </c>
      <c r="D22" s="86"/>
      <c r="E22" s="87"/>
      <c r="F22" s="87" t="s">
        <v>635</v>
      </c>
      <c r="G22" s="86" t="s">
        <v>636</v>
      </c>
      <c r="H22" s="327" t="s">
        <v>642</v>
      </c>
      <c r="I22" s="42">
        <v>83903811</v>
      </c>
      <c r="J22" s="89" t="s">
        <v>12</v>
      </c>
      <c r="K22" s="90">
        <v>2.1</v>
      </c>
      <c r="L22" s="91"/>
      <c r="M22" s="28">
        <f>2425-1266</f>
        <v>1159</v>
      </c>
      <c r="N22" s="28">
        <f>5337-2878</f>
        <v>2459</v>
      </c>
      <c r="O22" s="28">
        <f t="shared" si="0"/>
        <v>3618</v>
      </c>
      <c r="P22" s="91"/>
      <c r="Q22" s="28">
        <f>2425-1266</f>
        <v>1159</v>
      </c>
      <c r="R22" s="28">
        <f>5337-2878</f>
        <v>2459</v>
      </c>
      <c r="S22" s="28">
        <f t="shared" si="1"/>
        <v>3618</v>
      </c>
      <c r="T22" s="91"/>
      <c r="U22" s="28">
        <f t="shared" si="2"/>
        <v>2318</v>
      </c>
      <c r="V22" s="28">
        <f t="shared" si="3"/>
        <v>4918</v>
      </c>
      <c r="W22" s="28">
        <f t="shared" si="4"/>
        <v>7236</v>
      </c>
    </row>
    <row r="23" spans="1:23" ht="28.5">
      <c r="A23" s="603" t="s">
        <v>7</v>
      </c>
      <c r="B23" s="84" t="s">
        <v>8</v>
      </c>
      <c r="C23" s="85" t="s">
        <v>565</v>
      </c>
      <c r="D23" s="86"/>
      <c r="E23" s="87"/>
      <c r="F23" s="87" t="s">
        <v>635</v>
      </c>
      <c r="G23" s="86" t="s">
        <v>636</v>
      </c>
      <c r="H23" s="327" t="s">
        <v>643</v>
      </c>
      <c r="I23" s="42">
        <v>92952739</v>
      </c>
      <c r="J23" s="89" t="s">
        <v>12</v>
      </c>
      <c r="K23" s="90">
        <v>0.4</v>
      </c>
      <c r="L23" s="91"/>
      <c r="M23" s="28">
        <f>1205-294</f>
        <v>911</v>
      </c>
      <c r="N23" s="28">
        <f>5388-845</f>
        <v>4543</v>
      </c>
      <c r="O23" s="28">
        <f t="shared" si="0"/>
        <v>5454</v>
      </c>
      <c r="P23" s="91"/>
      <c r="Q23" s="28">
        <f>1205-294</f>
        <v>911</v>
      </c>
      <c r="R23" s="28">
        <f>5388-845</f>
        <v>4543</v>
      </c>
      <c r="S23" s="28">
        <f t="shared" si="1"/>
        <v>5454</v>
      </c>
      <c r="T23" s="91"/>
      <c r="U23" s="28">
        <f t="shared" si="2"/>
        <v>1822</v>
      </c>
      <c r="V23" s="28">
        <f t="shared" si="3"/>
        <v>9086</v>
      </c>
      <c r="W23" s="28">
        <f t="shared" si="4"/>
        <v>10908</v>
      </c>
    </row>
    <row r="24" spans="1:23" ht="28.5">
      <c r="A24" s="603" t="s">
        <v>7</v>
      </c>
      <c r="B24" s="84" t="s">
        <v>8</v>
      </c>
      <c r="C24" s="85" t="s">
        <v>1786</v>
      </c>
      <c r="D24" s="86"/>
      <c r="E24" s="87">
        <v>98</v>
      </c>
      <c r="F24" s="87" t="s">
        <v>635</v>
      </c>
      <c r="G24" s="86" t="s">
        <v>636</v>
      </c>
      <c r="H24" s="327" t="s">
        <v>644</v>
      </c>
      <c r="I24" s="42">
        <v>92953229</v>
      </c>
      <c r="J24" s="89" t="s">
        <v>12</v>
      </c>
      <c r="K24" s="90">
        <v>0.3</v>
      </c>
      <c r="L24" s="91"/>
      <c r="M24" s="28">
        <f>661-141</f>
        <v>520</v>
      </c>
      <c r="N24" s="28">
        <f>2335-389</f>
        <v>1946</v>
      </c>
      <c r="O24" s="28">
        <f t="shared" si="0"/>
        <v>2466</v>
      </c>
      <c r="P24" s="91"/>
      <c r="Q24" s="28">
        <f>661-141</f>
        <v>520</v>
      </c>
      <c r="R24" s="28">
        <f>2335-389</f>
        <v>1946</v>
      </c>
      <c r="S24" s="28">
        <f t="shared" si="1"/>
        <v>2466</v>
      </c>
      <c r="T24" s="91"/>
      <c r="U24" s="28">
        <f t="shared" si="2"/>
        <v>1040</v>
      </c>
      <c r="V24" s="28">
        <f t="shared" si="3"/>
        <v>3892</v>
      </c>
      <c r="W24" s="28">
        <f t="shared" si="4"/>
        <v>4932</v>
      </c>
    </row>
    <row r="25" spans="1:23" ht="28.5">
      <c r="A25" s="603" t="s">
        <v>7</v>
      </c>
      <c r="B25" s="84" t="s">
        <v>8</v>
      </c>
      <c r="C25" s="85" t="s">
        <v>379</v>
      </c>
      <c r="D25" s="86"/>
      <c r="E25" s="87">
        <v>3</v>
      </c>
      <c r="F25" s="87" t="s">
        <v>635</v>
      </c>
      <c r="G25" s="86" t="s">
        <v>636</v>
      </c>
      <c r="H25" s="327" t="s">
        <v>645</v>
      </c>
      <c r="I25" s="42">
        <v>92952741</v>
      </c>
      <c r="J25" s="89" t="s">
        <v>12</v>
      </c>
      <c r="K25" s="90">
        <v>1.1</v>
      </c>
      <c r="L25" s="91"/>
      <c r="M25" s="28">
        <f>1090-234</f>
        <v>856</v>
      </c>
      <c r="N25" s="28">
        <f>2626-441</f>
        <v>2185</v>
      </c>
      <c r="O25" s="28">
        <f t="shared" si="0"/>
        <v>3041</v>
      </c>
      <c r="P25" s="91"/>
      <c r="Q25" s="28">
        <f>1090-234</f>
        <v>856</v>
      </c>
      <c r="R25" s="28">
        <f>2626-441</f>
        <v>2185</v>
      </c>
      <c r="S25" s="28">
        <f t="shared" si="1"/>
        <v>3041</v>
      </c>
      <c r="T25" s="91"/>
      <c r="U25" s="28">
        <f t="shared" si="2"/>
        <v>1712</v>
      </c>
      <c r="V25" s="28">
        <f t="shared" si="3"/>
        <v>4370</v>
      </c>
      <c r="W25" s="28">
        <f t="shared" si="4"/>
        <v>6082</v>
      </c>
    </row>
    <row r="26" spans="1:23" ht="28.5">
      <c r="A26" s="603" t="s">
        <v>7</v>
      </c>
      <c r="B26" s="84" t="s">
        <v>8</v>
      </c>
      <c r="C26" s="85" t="s">
        <v>379</v>
      </c>
      <c r="D26" s="86"/>
      <c r="E26" s="87">
        <v>2</v>
      </c>
      <c r="F26" s="87" t="s">
        <v>635</v>
      </c>
      <c r="G26" s="86" t="s">
        <v>636</v>
      </c>
      <c r="H26" s="327" t="s">
        <v>646</v>
      </c>
      <c r="I26" s="42">
        <v>92953474</v>
      </c>
      <c r="J26" s="89" t="s">
        <v>12</v>
      </c>
      <c r="K26" s="90">
        <v>0.5</v>
      </c>
      <c r="L26" s="91"/>
      <c r="M26" s="28">
        <f>425-85</f>
        <v>340</v>
      </c>
      <c r="N26" s="28">
        <f>1133-136</f>
        <v>997</v>
      </c>
      <c r="O26" s="28">
        <f t="shared" si="0"/>
        <v>1337</v>
      </c>
      <c r="P26" s="91"/>
      <c r="Q26" s="28">
        <f>425-85</f>
        <v>340</v>
      </c>
      <c r="R26" s="28">
        <f>1133-136</f>
        <v>997</v>
      </c>
      <c r="S26" s="28">
        <f t="shared" si="1"/>
        <v>1337</v>
      </c>
      <c r="T26" s="91"/>
      <c r="U26" s="28">
        <f t="shared" si="2"/>
        <v>680</v>
      </c>
      <c r="V26" s="28">
        <f t="shared" si="3"/>
        <v>1994</v>
      </c>
      <c r="W26" s="28">
        <f t="shared" si="4"/>
        <v>2674</v>
      </c>
    </row>
    <row r="27" spans="1:23" ht="28.5">
      <c r="A27" s="603" t="s">
        <v>7</v>
      </c>
      <c r="B27" s="84" t="s">
        <v>8</v>
      </c>
      <c r="C27" s="85" t="s">
        <v>379</v>
      </c>
      <c r="D27" s="86"/>
      <c r="E27" s="87">
        <v>1</v>
      </c>
      <c r="F27" s="87" t="s">
        <v>635</v>
      </c>
      <c r="G27" s="86" t="s">
        <v>636</v>
      </c>
      <c r="H27" s="327" t="s">
        <v>647</v>
      </c>
      <c r="I27" s="42">
        <v>92953159</v>
      </c>
      <c r="J27" s="89" t="s">
        <v>12</v>
      </c>
      <c r="K27" s="90">
        <v>0.2</v>
      </c>
      <c r="L27" s="91"/>
      <c r="M27" s="28">
        <f>265-60</f>
        <v>205</v>
      </c>
      <c r="N27" s="28">
        <f>627-101</f>
        <v>526</v>
      </c>
      <c r="O27" s="28">
        <f t="shared" si="0"/>
        <v>731</v>
      </c>
      <c r="P27" s="91"/>
      <c r="Q27" s="28">
        <f>265-60</f>
        <v>205</v>
      </c>
      <c r="R27" s="28">
        <f>627-101</f>
        <v>526</v>
      </c>
      <c r="S27" s="28">
        <f t="shared" si="1"/>
        <v>731</v>
      </c>
      <c r="T27" s="91"/>
      <c r="U27" s="28">
        <f t="shared" si="2"/>
        <v>410</v>
      </c>
      <c r="V27" s="28">
        <f t="shared" si="3"/>
        <v>1052</v>
      </c>
      <c r="W27" s="28">
        <f t="shared" si="4"/>
        <v>1462</v>
      </c>
    </row>
    <row r="28" spans="1:23" ht="28.5">
      <c r="A28" s="603" t="s">
        <v>7</v>
      </c>
      <c r="B28" s="84" t="s">
        <v>8</v>
      </c>
      <c r="C28" s="85" t="s">
        <v>648</v>
      </c>
      <c r="D28" s="86"/>
      <c r="E28" s="87"/>
      <c r="F28" s="87" t="s">
        <v>635</v>
      </c>
      <c r="G28" s="86" t="s">
        <v>636</v>
      </c>
      <c r="H28" s="327" t="s">
        <v>649</v>
      </c>
      <c r="I28" s="42">
        <v>89001747</v>
      </c>
      <c r="J28" s="89" t="s">
        <v>12</v>
      </c>
      <c r="K28" s="90">
        <v>1.8</v>
      </c>
      <c r="L28" s="91"/>
      <c r="M28" s="28">
        <f>3646-1915</f>
        <v>1731</v>
      </c>
      <c r="N28" s="28">
        <f>8456-3936</f>
        <v>4520</v>
      </c>
      <c r="O28" s="28">
        <f t="shared" si="0"/>
        <v>6251</v>
      </c>
      <c r="P28" s="91"/>
      <c r="Q28" s="28">
        <f>3646-1915</f>
        <v>1731</v>
      </c>
      <c r="R28" s="28">
        <f>8456-3936</f>
        <v>4520</v>
      </c>
      <c r="S28" s="28">
        <f t="shared" si="1"/>
        <v>6251</v>
      </c>
      <c r="T28" s="91"/>
      <c r="U28" s="28">
        <f t="shared" si="2"/>
        <v>3462</v>
      </c>
      <c r="V28" s="28">
        <f t="shared" si="3"/>
        <v>9040</v>
      </c>
      <c r="W28" s="28">
        <f t="shared" si="4"/>
        <v>12502</v>
      </c>
    </row>
    <row r="29" spans="1:23" ht="28.5">
      <c r="A29" s="603" t="s">
        <v>7</v>
      </c>
      <c r="B29" s="84" t="s">
        <v>8</v>
      </c>
      <c r="C29" s="85" t="s">
        <v>1787</v>
      </c>
      <c r="D29" s="86"/>
      <c r="E29" s="87">
        <v>1</v>
      </c>
      <c r="F29" s="87" t="s">
        <v>635</v>
      </c>
      <c r="G29" s="86" t="s">
        <v>636</v>
      </c>
      <c r="H29" s="327" t="s">
        <v>650</v>
      </c>
      <c r="I29" s="42">
        <v>92953342</v>
      </c>
      <c r="J29" s="89" t="s">
        <v>12</v>
      </c>
      <c r="K29" s="90">
        <v>1.2</v>
      </c>
      <c r="L29" s="91"/>
      <c r="M29" s="28">
        <f>1245-259</f>
        <v>986</v>
      </c>
      <c r="N29" s="28">
        <f>3044-494</f>
        <v>2550</v>
      </c>
      <c r="O29" s="28">
        <f t="shared" si="0"/>
        <v>3536</v>
      </c>
      <c r="P29" s="91"/>
      <c r="Q29" s="28">
        <f>1245-259</f>
        <v>986</v>
      </c>
      <c r="R29" s="28">
        <f>3044-494</f>
        <v>2550</v>
      </c>
      <c r="S29" s="28">
        <f t="shared" si="1"/>
        <v>3536</v>
      </c>
      <c r="T29" s="91"/>
      <c r="U29" s="28">
        <f t="shared" si="2"/>
        <v>1972</v>
      </c>
      <c r="V29" s="28">
        <f t="shared" si="3"/>
        <v>5100</v>
      </c>
      <c r="W29" s="28">
        <f t="shared" si="4"/>
        <v>7072</v>
      </c>
    </row>
    <row r="30" spans="1:23" ht="28.5">
      <c r="A30" s="603" t="s">
        <v>7</v>
      </c>
      <c r="B30" s="84" t="s">
        <v>8</v>
      </c>
      <c r="C30" s="85" t="s">
        <v>1787</v>
      </c>
      <c r="D30" s="86"/>
      <c r="E30" s="87">
        <v>2</v>
      </c>
      <c r="F30" s="87" t="s">
        <v>635</v>
      </c>
      <c r="G30" s="86" t="s">
        <v>636</v>
      </c>
      <c r="H30" s="327" t="s">
        <v>651</v>
      </c>
      <c r="I30" s="42">
        <v>92953317</v>
      </c>
      <c r="J30" s="89" t="s">
        <v>12</v>
      </c>
      <c r="K30" s="90">
        <v>0.6</v>
      </c>
      <c r="L30" s="91"/>
      <c r="M30" s="28">
        <f>575-125</f>
        <v>450</v>
      </c>
      <c r="N30" s="28">
        <f>1466-235</f>
        <v>1231</v>
      </c>
      <c r="O30" s="28">
        <f t="shared" si="0"/>
        <v>1681</v>
      </c>
      <c r="P30" s="91"/>
      <c r="Q30" s="28">
        <f>575-125</f>
        <v>450</v>
      </c>
      <c r="R30" s="28">
        <f>1466-235</f>
        <v>1231</v>
      </c>
      <c r="S30" s="28">
        <f t="shared" si="1"/>
        <v>1681</v>
      </c>
      <c r="T30" s="91"/>
      <c r="U30" s="28">
        <f t="shared" si="2"/>
        <v>900</v>
      </c>
      <c r="V30" s="28">
        <f t="shared" si="3"/>
        <v>2462</v>
      </c>
      <c r="W30" s="28">
        <f t="shared" si="4"/>
        <v>3362</v>
      </c>
    </row>
    <row r="31" spans="1:23" ht="28.5">
      <c r="A31" s="603" t="s">
        <v>7</v>
      </c>
      <c r="B31" s="84" t="s">
        <v>8</v>
      </c>
      <c r="C31" s="85" t="s">
        <v>1787</v>
      </c>
      <c r="D31" s="86"/>
      <c r="E31" s="87">
        <v>2</v>
      </c>
      <c r="F31" s="87" t="s">
        <v>635</v>
      </c>
      <c r="G31" s="86" t="s">
        <v>636</v>
      </c>
      <c r="H31" s="327" t="s">
        <v>652</v>
      </c>
      <c r="I31" s="42">
        <v>92953522</v>
      </c>
      <c r="J31" s="89" t="s">
        <v>12</v>
      </c>
      <c r="K31" s="90">
        <v>0.5</v>
      </c>
      <c r="L31" s="91"/>
      <c r="M31" s="28">
        <f>1111-219</f>
        <v>892</v>
      </c>
      <c r="N31" s="28">
        <f>2587-402</f>
        <v>2185</v>
      </c>
      <c r="O31" s="28">
        <f t="shared" si="0"/>
        <v>3077</v>
      </c>
      <c r="P31" s="91"/>
      <c r="Q31" s="28">
        <f>1111-219</f>
        <v>892</v>
      </c>
      <c r="R31" s="28">
        <f>2587-402</f>
        <v>2185</v>
      </c>
      <c r="S31" s="28">
        <f t="shared" si="1"/>
        <v>3077</v>
      </c>
      <c r="T31" s="91"/>
      <c r="U31" s="28">
        <f t="shared" si="2"/>
        <v>1784</v>
      </c>
      <c r="V31" s="28">
        <f t="shared" si="3"/>
        <v>4370</v>
      </c>
      <c r="W31" s="28">
        <f t="shared" si="4"/>
        <v>6154</v>
      </c>
    </row>
    <row r="32" spans="1:23" ht="28.5">
      <c r="A32" s="603" t="s">
        <v>7</v>
      </c>
      <c r="B32" s="84" t="s">
        <v>8</v>
      </c>
      <c r="C32" s="85" t="s">
        <v>653</v>
      </c>
      <c r="D32" s="86"/>
      <c r="E32" s="87">
        <v>2</v>
      </c>
      <c r="F32" s="87" t="s">
        <v>635</v>
      </c>
      <c r="G32" s="86" t="s">
        <v>636</v>
      </c>
      <c r="H32" s="327" t="s">
        <v>654</v>
      </c>
      <c r="I32" s="42">
        <v>92953093</v>
      </c>
      <c r="J32" s="89" t="s">
        <v>12</v>
      </c>
      <c r="K32" s="90">
        <v>0.7</v>
      </c>
      <c r="L32" s="91"/>
      <c r="M32" s="28">
        <f>195-45</f>
        <v>150</v>
      </c>
      <c r="N32" s="28">
        <f>459-70</f>
        <v>389</v>
      </c>
      <c r="O32" s="28">
        <f t="shared" si="0"/>
        <v>539</v>
      </c>
      <c r="P32" s="91"/>
      <c r="Q32" s="28">
        <f>195-45</f>
        <v>150</v>
      </c>
      <c r="R32" s="28">
        <f>459-70</f>
        <v>389</v>
      </c>
      <c r="S32" s="28">
        <f t="shared" si="1"/>
        <v>539</v>
      </c>
      <c r="T32" s="91"/>
      <c r="U32" s="28">
        <f t="shared" si="2"/>
        <v>300</v>
      </c>
      <c r="V32" s="28">
        <f t="shared" si="3"/>
        <v>778</v>
      </c>
      <c r="W32" s="28">
        <f t="shared" si="4"/>
        <v>1078</v>
      </c>
    </row>
    <row r="33" spans="1:23" ht="28.5">
      <c r="A33" s="603" t="s">
        <v>7</v>
      </c>
      <c r="B33" s="84" t="s">
        <v>8</v>
      </c>
      <c r="C33" s="85" t="s">
        <v>653</v>
      </c>
      <c r="D33" s="86"/>
      <c r="E33" s="87">
        <v>2</v>
      </c>
      <c r="F33" s="87" t="s">
        <v>635</v>
      </c>
      <c r="G33" s="86" t="s">
        <v>636</v>
      </c>
      <c r="H33" s="327" t="s">
        <v>655</v>
      </c>
      <c r="I33" s="42">
        <v>89083643</v>
      </c>
      <c r="J33" s="89" t="s">
        <v>12</v>
      </c>
      <c r="K33" s="90">
        <v>0.1</v>
      </c>
      <c r="L33" s="91"/>
      <c r="M33" s="28">
        <f>145-35</f>
        <v>110</v>
      </c>
      <c r="N33" s="28">
        <f>360-54</f>
        <v>306</v>
      </c>
      <c r="O33" s="28">
        <f t="shared" si="0"/>
        <v>416</v>
      </c>
      <c r="P33" s="91"/>
      <c r="Q33" s="28">
        <f>145-35</f>
        <v>110</v>
      </c>
      <c r="R33" s="28">
        <f>360-54</f>
        <v>306</v>
      </c>
      <c r="S33" s="28">
        <f t="shared" si="1"/>
        <v>416</v>
      </c>
      <c r="T33" s="91"/>
      <c r="U33" s="28">
        <f t="shared" si="2"/>
        <v>220</v>
      </c>
      <c r="V33" s="28">
        <f t="shared" si="3"/>
        <v>612</v>
      </c>
      <c r="W33" s="28">
        <f t="shared" si="4"/>
        <v>832</v>
      </c>
    </row>
    <row r="34" spans="1:23" ht="28.5">
      <c r="A34" s="603" t="s">
        <v>7</v>
      </c>
      <c r="B34" s="84" t="s">
        <v>8</v>
      </c>
      <c r="C34" s="85" t="s">
        <v>634</v>
      </c>
      <c r="D34" s="86"/>
      <c r="E34" s="87"/>
      <c r="F34" s="87" t="s">
        <v>635</v>
      </c>
      <c r="G34" s="86" t="s">
        <v>636</v>
      </c>
      <c r="H34" s="327" t="s">
        <v>656</v>
      </c>
      <c r="I34" s="42">
        <v>92952617</v>
      </c>
      <c r="J34" s="89" t="s">
        <v>12</v>
      </c>
      <c r="K34" s="90">
        <v>1.1</v>
      </c>
      <c r="L34" s="91"/>
      <c r="M34" s="28">
        <f>1705-346</f>
        <v>1359</v>
      </c>
      <c r="N34" s="28">
        <f>4105-674</f>
        <v>3431</v>
      </c>
      <c r="O34" s="28">
        <f t="shared" si="0"/>
        <v>4790</v>
      </c>
      <c r="P34" s="91"/>
      <c r="Q34" s="28">
        <f>1705-346</f>
        <v>1359</v>
      </c>
      <c r="R34" s="28">
        <f>4105-674</f>
        <v>3431</v>
      </c>
      <c r="S34" s="28">
        <f t="shared" si="1"/>
        <v>4790</v>
      </c>
      <c r="T34" s="91"/>
      <c r="U34" s="28">
        <f t="shared" si="2"/>
        <v>2718</v>
      </c>
      <c r="V34" s="28">
        <f t="shared" si="3"/>
        <v>6862</v>
      </c>
      <c r="W34" s="28">
        <f t="shared" si="4"/>
        <v>9580</v>
      </c>
    </row>
    <row r="35" spans="1:23" ht="28.5">
      <c r="A35" s="603" t="s">
        <v>7</v>
      </c>
      <c r="B35" s="84" t="s">
        <v>8</v>
      </c>
      <c r="C35" s="85" t="s">
        <v>634</v>
      </c>
      <c r="D35" s="86"/>
      <c r="E35" s="87">
        <v>1</v>
      </c>
      <c r="F35" s="87" t="s">
        <v>635</v>
      </c>
      <c r="G35" s="86" t="s">
        <v>636</v>
      </c>
      <c r="H35" s="327" t="s">
        <v>657</v>
      </c>
      <c r="I35" s="42">
        <v>92952619</v>
      </c>
      <c r="J35" s="89" t="s">
        <v>12</v>
      </c>
      <c r="K35" s="90">
        <v>0.8</v>
      </c>
      <c r="L35" s="91"/>
      <c r="M35" s="28">
        <f>877-188</f>
        <v>689</v>
      </c>
      <c r="N35" s="28">
        <f>1980-294</f>
        <v>1686</v>
      </c>
      <c r="O35" s="28">
        <f t="shared" si="0"/>
        <v>2375</v>
      </c>
      <c r="P35" s="91"/>
      <c r="Q35" s="28">
        <f>877-188</f>
        <v>689</v>
      </c>
      <c r="R35" s="28">
        <f>1980-294</f>
        <v>1686</v>
      </c>
      <c r="S35" s="28">
        <f t="shared" si="1"/>
        <v>2375</v>
      </c>
      <c r="T35" s="91"/>
      <c r="U35" s="28">
        <f t="shared" si="2"/>
        <v>1378</v>
      </c>
      <c r="V35" s="28">
        <f t="shared" si="3"/>
        <v>3372</v>
      </c>
      <c r="W35" s="28">
        <f t="shared" si="4"/>
        <v>4750</v>
      </c>
    </row>
    <row r="36" spans="1:23" ht="28.5">
      <c r="A36" s="603" t="s">
        <v>7</v>
      </c>
      <c r="B36" s="84" t="s">
        <v>8</v>
      </c>
      <c r="C36" s="85" t="s">
        <v>658</v>
      </c>
      <c r="D36" s="86"/>
      <c r="E36" s="87"/>
      <c r="F36" s="87" t="s">
        <v>635</v>
      </c>
      <c r="G36" s="86" t="s">
        <v>636</v>
      </c>
      <c r="H36" s="327" t="s">
        <v>659</v>
      </c>
      <c r="I36" s="42">
        <v>92953334</v>
      </c>
      <c r="J36" s="89" t="s">
        <v>12</v>
      </c>
      <c r="K36" s="90">
        <v>3.5</v>
      </c>
      <c r="L36" s="91"/>
      <c r="M36" s="28">
        <f>535-101</f>
        <v>434</v>
      </c>
      <c r="N36" s="28">
        <f>1255-178</f>
        <v>1077</v>
      </c>
      <c r="O36" s="28">
        <f t="shared" si="0"/>
        <v>1511</v>
      </c>
      <c r="P36" s="91"/>
      <c r="Q36" s="28">
        <f>535-101</f>
        <v>434</v>
      </c>
      <c r="R36" s="28">
        <f>1255-178</f>
        <v>1077</v>
      </c>
      <c r="S36" s="28">
        <f t="shared" si="1"/>
        <v>1511</v>
      </c>
      <c r="T36" s="91"/>
      <c r="U36" s="28">
        <f t="shared" si="2"/>
        <v>868</v>
      </c>
      <c r="V36" s="28">
        <f t="shared" si="3"/>
        <v>2154</v>
      </c>
      <c r="W36" s="28">
        <f t="shared" si="4"/>
        <v>3022</v>
      </c>
    </row>
    <row r="37" spans="1:23" ht="28.5">
      <c r="A37" s="603" t="s">
        <v>7</v>
      </c>
      <c r="B37" s="84" t="s">
        <v>8</v>
      </c>
      <c r="C37" s="85" t="s">
        <v>636</v>
      </c>
      <c r="D37" s="86" t="s">
        <v>660</v>
      </c>
      <c r="E37" s="87"/>
      <c r="F37" s="87" t="s">
        <v>635</v>
      </c>
      <c r="G37" s="86" t="s">
        <v>636</v>
      </c>
      <c r="H37" s="327" t="s">
        <v>661</v>
      </c>
      <c r="I37" s="42">
        <v>94807002</v>
      </c>
      <c r="J37" s="89" t="s">
        <v>12</v>
      </c>
      <c r="K37" s="90">
        <v>2.2</v>
      </c>
      <c r="L37" s="91"/>
      <c r="M37" s="28">
        <f>1489-39</f>
        <v>1450</v>
      </c>
      <c r="N37" s="28">
        <f>3988-174</f>
        <v>3814</v>
      </c>
      <c r="O37" s="28">
        <f t="shared" si="0"/>
        <v>5264</v>
      </c>
      <c r="P37" s="91"/>
      <c r="Q37" s="28">
        <f>1489-39</f>
        <v>1450</v>
      </c>
      <c r="R37" s="28">
        <f>3988-174</f>
        <v>3814</v>
      </c>
      <c r="S37" s="28">
        <f t="shared" si="1"/>
        <v>5264</v>
      </c>
      <c r="T37" s="91"/>
      <c r="U37" s="28">
        <f t="shared" si="2"/>
        <v>2900</v>
      </c>
      <c r="V37" s="28">
        <f t="shared" si="3"/>
        <v>7628</v>
      </c>
      <c r="W37" s="28">
        <f t="shared" si="4"/>
        <v>10528</v>
      </c>
    </row>
    <row r="38" spans="1:23" ht="28.5">
      <c r="A38" s="603" t="s">
        <v>7</v>
      </c>
      <c r="B38" s="84" t="s">
        <v>8</v>
      </c>
      <c r="C38" s="85" t="s">
        <v>636</v>
      </c>
      <c r="D38" s="86" t="s">
        <v>662</v>
      </c>
      <c r="E38" s="87"/>
      <c r="F38" s="87" t="s">
        <v>635</v>
      </c>
      <c r="G38" s="86" t="s">
        <v>636</v>
      </c>
      <c r="H38" s="327" t="s">
        <v>663</v>
      </c>
      <c r="I38" s="42">
        <v>89124985</v>
      </c>
      <c r="J38" s="89" t="s">
        <v>12</v>
      </c>
      <c r="K38" s="90">
        <v>2.7</v>
      </c>
      <c r="L38" s="91"/>
      <c r="M38" s="28">
        <f>2006-1413</f>
        <v>593</v>
      </c>
      <c r="N38" s="28">
        <f>8476-5998</f>
        <v>2478</v>
      </c>
      <c r="O38" s="28">
        <f t="shared" si="0"/>
        <v>3071</v>
      </c>
      <c r="P38" s="91"/>
      <c r="Q38" s="28">
        <f>2006-1413</f>
        <v>593</v>
      </c>
      <c r="R38" s="28">
        <f>8476-5998</f>
        <v>2478</v>
      </c>
      <c r="S38" s="28">
        <f t="shared" si="1"/>
        <v>3071</v>
      </c>
      <c r="T38" s="91"/>
      <c r="U38" s="28">
        <f t="shared" si="2"/>
        <v>1186</v>
      </c>
      <c r="V38" s="28">
        <f t="shared" si="3"/>
        <v>4956</v>
      </c>
      <c r="W38" s="28">
        <f t="shared" si="4"/>
        <v>6142</v>
      </c>
    </row>
    <row r="39" spans="1:23" ht="28.5">
      <c r="A39" s="603" t="s">
        <v>7</v>
      </c>
      <c r="B39" s="84" t="s">
        <v>8</v>
      </c>
      <c r="C39" s="85" t="s">
        <v>636</v>
      </c>
      <c r="D39" s="86" t="s">
        <v>664</v>
      </c>
      <c r="E39" s="87">
        <v>4</v>
      </c>
      <c r="F39" s="87" t="s">
        <v>635</v>
      </c>
      <c r="G39" s="86" t="s">
        <v>636</v>
      </c>
      <c r="H39" s="327" t="s">
        <v>665</v>
      </c>
      <c r="I39" s="42">
        <v>94807006</v>
      </c>
      <c r="J39" s="89" t="s">
        <v>12</v>
      </c>
      <c r="K39" s="90">
        <v>1.8</v>
      </c>
      <c r="L39" s="91"/>
      <c r="M39" s="28">
        <f>1287-26</f>
        <v>1261</v>
      </c>
      <c r="N39" s="28">
        <f>4172-131</f>
        <v>4041</v>
      </c>
      <c r="O39" s="28">
        <f t="shared" si="0"/>
        <v>5302</v>
      </c>
      <c r="P39" s="91"/>
      <c r="Q39" s="28">
        <f>1287-26</f>
        <v>1261</v>
      </c>
      <c r="R39" s="28">
        <f>4172-131</f>
        <v>4041</v>
      </c>
      <c r="S39" s="28">
        <f t="shared" si="1"/>
        <v>5302</v>
      </c>
      <c r="T39" s="91"/>
      <c r="U39" s="28">
        <f t="shared" si="2"/>
        <v>2522</v>
      </c>
      <c r="V39" s="28">
        <f t="shared" si="3"/>
        <v>8082</v>
      </c>
      <c r="W39" s="28">
        <f t="shared" si="4"/>
        <v>10604</v>
      </c>
    </row>
    <row r="40" spans="1:23" ht="28.5">
      <c r="A40" s="603" t="s">
        <v>7</v>
      </c>
      <c r="B40" s="84" t="s">
        <v>8</v>
      </c>
      <c r="C40" s="85" t="s">
        <v>636</v>
      </c>
      <c r="D40" s="85" t="s">
        <v>1300</v>
      </c>
      <c r="E40" s="87">
        <v>5</v>
      </c>
      <c r="F40" s="87" t="s">
        <v>635</v>
      </c>
      <c r="G40" s="86" t="s">
        <v>636</v>
      </c>
      <c r="H40" s="327" t="s">
        <v>666</v>
      </c>
      <c r="I40" s="42">
        <v>89124990</v>
      </c>
      <c r="J40" s="89" t="s">
        <v>12</v>
      </c>
      <c r="K40" s="90">
        <v>2.3</v>
      </c>
      <c r="L40" s="91"/>
      <c r="M40" s="28">
        <f>1831-1256</f>
        <v>575</v>
      </c>
      <c r="N40" s="28">
        <f>7944-5440</f>
        <v>2504</v>
      </c>
      <c r="O40" s="28">
        <f t="shared" si="0"/>
        <v>3079</v>
      </c>
      <c r="P40" s="91"/>
      <c r="Q40" s="28">
        <f>1831-1256</f>
        <v>575</v>
      </c>
      <c r="R40" s="28">
        <f>7944-5440</f>
        <v>2504</v>
      </c>
      <c r="S40" s="28">
        <f t="shared" si="1"/>
        <v>3079</v>
      </c>
      <c r="T40" s="91"/>
      <c r="U40" s="28">
        <f t="shared" si="2"/>
        <v>1150</v>
      </c>
      <c r="V40" s="28">
        <f t="shared" si="3"/>
        <v>5008</v>
      </c>
      <c r="W40" s="28">
        <f t="shared" si="4"/>
        <v>6158</v>
      </c>
    </row>
    <row r="41" spans="1:23" ht="28.5">
      <c r="A41" s="603" t="s">
        <v>7</v>
      </c>
      <c r="B41" s="84" t="s">
        <v>8</v>
      </c>
      <c r="C41" s="85" t="s">
        <v>667</v>
      </c>
      <c r="D41" s="86"/>
      <c r="E41" s="87"/>
      <c r="F41" s="87" t="s">
        <v>635</v>
      </c>
      <c r="G41" s="86" t="s">
        <v>636</v>
      </c>
      <c r="H41" s="327" t="s">
        <v>668</v>
      </c>
      <c r="I41" s="42">
        <v>89092625</v>
      </c>
      <c r="J41" s="89" t="s">
        <v>12</v>
      </c>
      <c r="K41" s="90">
        <v>3.8</v>
      </c>
      <c r="L41" s="91"/>
      <c r="M41" s="28">
        <f>4612-3111</f>
        <v>1501</v>
      </c>
      <c r="N41" s="28">
        <f>19328-13092</f>
        <v>6236</v>
      </c>
      <c r="O41" s="28">
        <f t="shared" si="0"/>
        <v>7737</v>
      </c>
      <c r="P41" s="91"/>
      <c r="Q41" s="28">
        <f>4612-3111</f>
        <v>1501</v>
      </c>
      <c r="R41" s="28">
        <f>19328-13092</f>
        <v>6236</v>
      </c>
      <c r="S41" s="28">
        <f t="shared" si="1"/>
        <v>7737</v>
      </c>
      <c r="T41" s="91"/>
      <c r="U41" s="28">
        <f t="shared" si="2"/>
        <v>3002</v>
      </c>
      <c r="V41" s="28">
        <f t="shared" si="3"/>
        <v>12472</v>
      </c>
      <c r="W41" s="28">
        <f t="shared" si="4"/>
        <v>15474</v>
      </c>
    </row>
    <row r="42" spans="1:23" ht="28.5">
      <c r="A42" s="603" t="s">
        <v>7</v>
      </c>
      <c r="B42" s="84" t="s">
        <v>8</v>
      </c>
      <c r="C42" s="85" t="s">
        <v>1301</v>
      </c>
      <c r="D42" s="86"/>
      <c r="E42" s="87"/>
      <c r="F42" s="87" t="s">
        <v>635</v>
      </c>
      <c r="G42" s="86" t="s">
        <v>636</v>
      </c>
      <c r="H42" s="327" t="s">
        <v>670</v>
      </c>
      <c r="I42" s="42">
        <v>92952718</v>
      </c>
      <c r="J42" s="89" t="s">
        <v>12</v>
      </c>
      <c r="K42" s="90">
        <v>0.3</v>
      </c>
      <c r="L42" s="91"/>
      <c r="M42" s="28">
        <f>385-75</f>
        <v>310</v>
      </c>
      <c r="N42" s="28">
        <f>977-145</f>
        <v>832</v>
      </c>
      <c r="O42" s="28">
        <f t="shared" si="0"/>
        <v>1142</v>
      </c>
      <c r="P42" s="91"/>
      <c r="Q42" s="28">
        <f>385-75</f>
        <v>310</v>
      </c>
      <c r="R42" s="28">
        <f>977-145</f>
        <v>832</v>
      </c>
      <c r="S42" s="28">
        <f t="shared" si="1"/>
        <v>1142</v>
      </c>
      <c r="T42" s="91"/>
      <c r="U42" s="28">
        <f t="shared" si="2"/>
        <v>620</v>
      </c>
      <c r="V42" s="28">
        <f t="shared" si="3"/>
        <v>1664</v>
      </c>
      <c r="W42" s="28">
        <f t="shared" si="4"/>
        <v>2284</v>
      </c>
    </row>
    <row r="43" spans="1:23" ht="28.5">
      <c r="A43" s="603" t="s">
        <v>7</v>
      </c>
      <c r="B43" s="84" t="s">
        <v>8</v>
      </c>
      <c r="C43" s="85" t="s">
        <v>1302</v>
      </c>
      <c r="D43" s="86"/>
      <c r="E43" s="87"/>
      <c r="F43" s="87" t="s">
        <v>635</v>
      </c>
      <c r="G43" s="86" t="s">
        <v>636</v>
      </c>
      <c r="H43" s="327" t="s">
        <v>672</v>
      </c>
      <c r="I43" s="42">
        <v>92953452</v>
      </c>
      <c r="J43" s="89" t="s">
        <v>12</v>
      </c>
      <c r="K43" s="90">
        <v>0.3</v>
      </c>
      <c r="L43" s="91"/>
      <c r="M43" s="28">
        <f>376-66</f>
        <v>310</v>
      </c>
      <c r="N43" s="28">
        <f>967-148</f>
        <v>819</v>
      </c>
      <c r="O43" s="28">
        <f t="shared" si="0"/>
        <v>1129</v>
      </c>
      <c r="P43" s="91"/>
      <c r="Q43" s="28">
        <f>376-66</f>
        <v>310</v>
      </c>
      <c r="R43" s="28">
        <f>967-148</f>
        <v>819</v>
      </c>
      <c r="S43" s="28">
        <f t="shared" si="1"/>
        <v>1129</v>
      </c>
      <c r="T43" s="91"/>
      <c r="U43" s="28">
        <f t="shared" si="2"/>
        <v>620</v>
      </c>
      <c r="V43" s="28">
        <f t="shared" si="3"/>
        <v>1638</v>
      </c>
      <c r="W43" s="28">
        <f t="shared" si="4"/>
        <v>2258</v>
      </c>
    </row>
    <row r="44" spans="1:23" ht="28.5">
      <c r="A44" s="603" t="s">
        <v>7</v>
      </c>
      <c r="B44" s="84" t="s">
        <v>8</v>
      </c>
      <c r="C44" s="85" t="s">
        <v>669</v>
      </c>
      <c r="D44" s="86"/>
      <c r="E44" s="87"/>
      <c r="F44" s="87" t="s">
        <v>635</v>
      </c>
      <c r="G44" s="86" t="s">
        <v>636</v>
      </c>
      <c r="H44" s="327" t="s">
        <v>673</v>
      </c>
      <c r="I44" s="42">
        <v>92953332</v>
      </c>
      <c r="J44" s="89" t="s">
        <v>12</v>
      </c>
      <c r="K44" s="90">
        <v>0.1</v>
      </c>
      <c r="L44" s="91"/>
      <c r="M44" s="28">
        <f>495-90</f>
        <v>405</v>
      </c>
      <c r="N44" s="28">
        <f>1128-173</f>
        <v>955</v>
      </c>
      <c r="O44" s="28">
        <f t="shared" si="0"/>
        <v>1360</v>
      </c>
      <c r="P44" s="91"/>
      <c r="Q44" s="28">
        <f>495-90</f>
        <v>405</v>
      </c>
      <c r="R44" s="28">
        <f>1128-173</f>
        <v>955</v>
      </c>
      <c r="S44" s="28">
        <f t="shared" si="1"/>
        <v>1360</v>
      </c>
      <c r="T44" s="91"/>
      <c r="U44" s="28">
        <f t="shared" si="2"/>
        <v>810</v>
      </c>
      <c r="V44" s="28">
        <f t="shared" si="3"/>
        <v>1910</v>
      </c>
      <c r="W44" s="28">
        <f t="shared" si="4"/>
        <v>2720</v>
      </c>
    </row>
    <row r="45" spans="1:23" ht="28.5">
      <c r="A45" s="603" t="s">
        <v>7</v>
      </c>
      <c r="B45" s="84" t="s">
        <v>8</v>
      </c>
      <c r="C45" s="85" t="s">
        <v>636</v>
      </c>
      <c r="D45" s="85" t="s">
        <v>1683</v>
      </c>
      <c r="E45" s="87"/>
      <c r="F45" s="87" t="s">
        <v>635</v>
      </c>
      <c r="G45" s="86" t="s">
        <v>636</v>
      </c>
      <c r="H45" s="327" t="s">
        <v>674</v>
      </c>
      <c r="I45" s="42">
        <v>96009291</v>
      </c>
      <c r="J45" s="89" t="s">
        <v>12</v>
      </c>
      <c r="K45" s="90">
        <v>14</v>
      </c>
      <c r="L45" s="91"/>
      <c r="M45" s="28">
        <f>2450-96</f>
        <v>2354</v>
      </c>
      <c r="N45" s="28">
        <f>10906-624</f>
        <v>10282</v>
      </c>
      <c r="O45" s="28">
        <f t="shared" si="0"/>
        <v>12636</v>
      </c>
      <c r="P45" s="91"/>
      <c r="Q45" s="28">
        <f>2450-96</f>
        <v>2354</v>
      </c>
      <c r="R45" s="28">
        <f>10906-624</f>
        <v>10282</v>
      </c>
      <c r="S45" s="28">
        <f t="shared" si="1"/>
        <v>12636</v>
      </c>
      <c r="T45" s="91"/>
      <c r="U45" s="28">
        <f t="shared" si="2"/>
        <v>4708</v>
      </c>
      <c r="V45" s="28">
        <f t="shared" si="3"/>
        <v>20564</v>
      </c>
      <c r="W45" s="28">
        <f t="shared" si="4"/>
        <v>25272</v>
      </c>
    </row>
    <row r="46" spans="1:23" ht="28.5">
      <c r="A46" s="603" t="s">
        <v>7</v>
      </c>
      <c r="B46" s="84" t="s">
        <v>8</v>
      </c>
      <c r="C46" s="85" t="s">
        <v>636</v>
      </c>
      <c r="D46" s="85" t="s">
        <v>1303</v>
      </c>
      <c r="E46" s="87"/>
      <c r="F46" s="87" t="s">
        <v>635</v>
      </c>
      <c r="G46" s="86" t="s">
        <v>636</v>
      </c>
      <c r="H46" s="327" t="s">
        <v>675</v>
      </c>
      <c r="I46" s="42">
        <v>94977104</v>
      </c>
      <c r="J46" s="89" t="s">
        <v>12</v>
      </c>
      <c r="K46" s="90">
        <v>1.6</v>
      </c>
      <c r="L46" s="91"/>
      <c r="M46" s="28">
        <f>2005-147</f>
        <v>1858</v>
      </c>
      <c r="N46" s="28">
        <f>4620-358</f>
        <v>4262</v>
      </c>
      <c r="O46" s="28">
        <f t="shared" si="0"/>
        <v>6120</v>
      </c>
      <c r="P46" s="91"/>
      <c r="Q46" s="28">
        <f>2005-147</f>
        <v>1858</v>
      </c>
      <c r="R46" s="28">
        <f>4620-358</f>
        <v>4262</v>
      </c>
      <c r="S46" s="28">
        <f t="shared" si="1"/>
        <v>6120</v>
      </c>
      <c r="T46" s="91"/>
      <c r="U46" s="28">
        <f t="shared" si="2"/>
        <v>3716</v>
      </c>
      <c r="V46" s="28">
        <f t="shared" si="3"/>
        <v>8524</v>
      </c>
      <c r="W46" s="28">
        <f t="shared" si="4"/>
        <v>12240</v>
      </c>
    </row>
    <row r="47" spans="1:23" ht="28.5">
      <c r="A47" s="603" t="s">
        <v>7</v>
      </c>
      <c r="B47" s="84" t="s">
        <v>8</v>
      </c>
      <c r="C47" s="85" t="s">
        <v>676</v>
      </c>
      <c r="D47" s="86"/>
      <c r="E47" s="87">
        <v>4</v>
      </c>
      <c r="F47" s="87" t="s">
        <v>635</v>
      </c>
      <c r="G47" s="86" t="s">
        <v>636</v>
      </c>
      <c r="H47" s="327" t="s">
        <v>677</v>
      </c>
      <c r="I47" s="42">
        <v>92953230</v>
      </c>
      <c r="J47" s="89" t="s">
        <v>12</v>
      </c>
      <c r="K47" s="90">
        <v>1</v>
      </c>
      <c r="L47" s="91"/>
      <c r="M47" s="28">
        <f>645-126</f>
        <v>519</v>
      </c>
      <c r="N47" s="28">
        <f>1384-235</f>
        <v>1149</v>
      </c>
      <c r="O47" s="28">
        <f t="shared" si="0"/>
        <v>1668</v>
      </c>
      <c r="P47" s="91"/>
      <c r="Q47" s="28">
        <f>645-126</f>
        <v>519</v>
      </c>
      <c r="R47" s="28">
        <f>1384-235</f>
        <v>1149</v>
      </c>
      <c r="S47" s="28">
        <f t="shared" si="1"/>
        <v>1668</v>
      </c>
      <c r="T47" s="91"/>
      <c r="U47" s="28">
        <f t="shared" si="2"/>
        <v>1038</v>
      </c>
      <c r="V47" s="28">
        <f t="shared" si="3"/>
        <v>2298</v>
      </c>
      <c r="W47" s="28">
        <f t="shared" si="4"/>
        <v>3336</v>
      </c>
    </row>
    <row r="48" spans="1:23" ht="28.5">
      <c r="A48" s="603" t="s">
        <v>7</v>
      </c>
      <c r="B48" s="84" t="s">
        <v>8</v>
      </c>
      <c r="C48" s="85" t="s">
        <v>676</v>
      </c>
      <c r="D48" s="86"/>
      <c r="E48" s="87">
        <v>2</v>
      </c>
      <c r="F48" s="87" t="s">
        <v>635</v>
      </c>
      <c r="G48" s="86" t="s">
        <v>636</v>
      </c>
      <c r="H48" s="327" t="s">
        <v>678</v>
      </c>
      <c r="I48" s="42">
        <v>92952683</v>
      </c>
      <c r="J48" s="89" t="s">
        <v>12</v>
      </c>
      <c r="K48" s="90">
        <v>0.7</v>
      </c>
      <c r="L48" s="91"/>
      <c r="M48" s="28">
        <f>745-165</f>
        <v>580</v>
      </c>
      <c r="N48" s="28">
        <f>2165-380</f>
        <v>1785</v>
      </c>
      <c r="O48" s="28">
        <f t="shared" si="0"/>
        <v>2365</v>
      </c>
      <c r="P48" s="91"/>
      <c r="Q48" s="28">
        <f>745-165</f>
        <v>580</v>
      </c>
      <c r="R48" s="28">
        <f>2165-380</f>
        <v>1785</v>
      </c>
      <c r="S48" s="28">
        <f t="shared" si="1"/>
        <v>2365</v>
      </c>
      <c r="T48" s="91"/>
      <c r="U48" s="28">
        <f t="shared" si="2"/>
        <v>1160</v>
      </c>
      <c r="V48" s="28">
        <f t="shared" si="3"/>
        <v>3570</v>
      </c>
      <c r="W48" s="28">
        <f t="shared" si="4"/>
        <v>4730</v>
      </c>
    </row>
    <row r="49" spans="1:23" ht="28.5">
      <c r="A49" s="603" t="s">
        <v>7</v>
      </c>
      <c r="B49" s="84" t="s">
        <v>8</v>
      </c>
      <c r="C49" s="85" t="s">
        <v>676</v>
      </c>
      <c r="D49" s="86"/>
      <c r="E49" s="87">
        <v>3</v>
      </c>
      <c r="F49" s="87" t="s">
        <v>635</v>
      </c>
      <c r="G49" s="86" t="s">
        <v>636</v>
      </c>
      <c r="H49" s="327" t="s">
        <v>679</v>
      </c>
      <c r="I49" s="42">
        <v>92953220</v>
      </c>
      <c r="J49" s="89" t="s">
        <v>12</v>
      </c>
      <c r="K49" s="90">
        <v>1</v>
      </c>
      <c r="L49" s="91"/>
      <c r="M49" s="28">
        <f>397-73</f>
        <v>324</v>
      </c>
      <c r="N49" s="28">
        <f>1714-256</f>
        <v>1458</v>
      </c>
      <c r="O49" s="28">
        <f t="shared" si="0"/>
        <v>1782</v>
      </c>
      <c r="P49" s="91"/>
      <c r="Q49" s="28">
        <f>397-73</f>
        <v>324</v>
      </c>
      <c r="R49" s="28">
        <f>1714-256</f>
        <v>1458</v>
      </c>
      <c r="S49" s="28">
        <f t="shared" si="1"/>
        <v>1782</v>
      </c>
      <c r="T49" s="91"/>
      <c r="U49" s="28">
        <f t="shared" si="2"/>
        <v>648</v>
      </c>
      <c r="V49" s="28">
        <f t="shared" si="3"/>
        <v>2916</v>
      </c>
      <c r="W49" s="28">
        <f t="shared" si="4"/>
        <v>3564</v>
      </c>
    </row>
    <row r="50" spans="1:23" ht="28.5">
      <c r="A50" s="603" t="s">
        <v>7</v>
      </c>
      <c r="B50" s="84" t="s">
        <v>8</v>
      </c>
      <c r="C50" s="85" t="s">
        <v>676</v>
      </c>
      <c r="D50" s="86"/>
      <c r="E50" s="87">
        <v>1</v>
      </c>
      <c r="F50" s="87" t="s">
        <v>635</v>
      </c>
      <c r="G50" s="86" t="s">
        <v>636</v>
      </c>
      <c r="H50" s="327" t="s">
        <v>680</v>
      </c>
      <c r="I50" s="42">
        <v>92952740</v>
      </c>
      <c r="J50" s="89" t="s">
        <v>12</v>
      </c>
      <c r="K50" s="90">
        <v>0.8</v>
      </c>
      <c r="L50" s="91"/>
      <c r="M50" s="28">
        <f>850-146</f>
        <v>704</v>
      </c>
      <c r="N50" s="28">
        <f>2370-411</f>
        <v>1959</v>
      </c>
      <c r="O50" s="28">
        <f t="shared" si="0"/>
        <v>2663</v>
      </c>
      <c r="P50" s="91"/>
      <c r="Q50" s="28">
        <f>850-146</f>
        <v>704</v>
      </c>
      <c r="R50" s="28">
        <f>2370-411</f>
        <v>1959</v>
      </c>
      <c r="S50" s="28">
        <f t="shared" si="1"/>
        <v>2663</v>
      </c>
      <c r="T50" s="91"/>
      <c r="U50" s="28">
        <f t="shared" si="2"/>
        <v>1408</v>
      </c>
      <c r="V50" s="28">
        <f t="shared" si="3"/>
        <v>3918</v>
      </c>
      <c r="W50" s="28">
        <f t="shared" si="4"/>
        <v>5326</v>
      </c>
    </row>
    <row r="51" spans="1:23" ht="28.5">
      <c r="A51" s="603" t="s">
        <v>7</v>
      </c>
      <c r="B51" s="84" t="s">
        <v>8</v>
      </c>
      <c r="C51" s="85" t="s">
        <v>658</v>
      </c>
      <c r="D51" s="86"/>
      <c r="E51" s="87">
        <v>8</v>
      </c>
      <c r="F51" s="87" t="s">
        <v>635</v>
      </c>
      <c r="G51" s="86" t="s">
        <v>636</v>
      </c>
      <c r="H51" s="327" t="s">
        <v>681</v>
      </c>
      <c r="I51" s="42">
        <v>94964614</v>
      </c>
      <c r="J51" s="89" t="s">
        <v>12</v>
      </c>
      <c r="K51" s="90">
        <v>0.6</v>
      </c>
      <c r="L51" s="91"/>
      <c r="M51" s="28">
        <f>10735-9378</f>
        <v>1357</v>
      </c>
      <c r="N51" s="28">
        <f>33485-29912</f>
        <v>3573</v>
      </c>
      <c r="O51" s="28">
        <f t="shared" si="0"/>
        <v>4930</v>
      </c>
      <c r="P51" s="91"/>
      <c r="Q51" s="28">
        <f>10735-9378</f>
        <v>1357</v>
      </c>
      <c r="R51" s="28">
        <f>33485-29912</f>
        <v>3573</v>
      </c>
      <c r="S51" s="28">
        <f t="shared" si="1"/>
        <v>4930</v>
      </c>
      <c r="T51" s="91"/>
      <c r="U51" s="28">
        <f t="shared" si="2"/>
        <v>2714</v>
      </c>
      <c r="V51" s="28">
        <f t="shared" si="3"/>
        <v>7146</v>
      </c>
      <c r="W51" s="28">
        <f t="shared" si="4"/>
        <v>9860</v>
      </c>
    </row>
    <row r="52" spans="1:23" ht="28.5">
      <c r="A52" s="603" t="s">
        <v>7</v>
      </c>
      <c r="B52" s="84" t="s">
        <v>8</v>
      </c>
      <c r="C52" s="85" t="s">
        <v>658</v>
      </c>
      <c r="D52" s="86"/>
      <c r="E52" s="87">
        <v>14</v>
      </c>
      <c r="F52" s="87" t="s">
        <v>635</v>
      </c>
      <c r="G52" s="86" t="s">
        <v>636</v>
      </c>
      <c r="H52" s="327" t="s">
        <v>682</v>
      </c>
      <c r="I52" s="42">
        <v>94977114</v>
      </c>
      <c r="J52" s="89" t="s">
        <v>12</v>
      </c>
      <c r="K52" s="90">
        <v>2.3</v>
      </c>
      <c r="L52" s="91"/>
      <c r="M52" s="28">
        <f>1332-54</f>
        <v>1278</v>
      </c>
      <c r="N52" s="28">
        <f>6256-348</f>
        <v>5908</v>
      </c>
      <c r="O52" s="28">
        <f t="shared" si="0"/>
        <v>7186</v>
      </c>
      <c r="P52" s="91"/>
      <c r="Q52" s="28">
        <f>1332-54</f>
        <v>1278</v>
      </c>
      <c r="R52" s="28">
        <f>6256-348</f>
        <v>5908</v>
      </c>
      <c r="S52" s="28">
        <f t="shared" si="1"/>
        <v>7186</v>
      </c>
      <c r="T52" s="91"/>
      <c r="U52" s="28">
        <f t="shared" si="2"/>
        <v>2556</v>
      </c>
      <c r="V52" s="28">
        <f t="shared" si="3"/>
        <v>11816</v>
      </c>
      <c r="W52" s="28">
        <f t="shared" si="4"/>
        <v>14372</v>
      </c>
    </row>
    <row r="53" spans="1:23" ht="28.5">
      <c r="A53" s="603" t="s">
        <v>7</v>
      </c>
      <c r="B53" s="84" t="s">
        <v>8</v>
      </c>
      <c r="C53" s="85" t="s">
        <v>683</v>
      </c>
      <c r="D53" s="86"/>
      <c r="E53" s="87">
        <v>17</v>
      </c>
      <c r="F53" s="87" t="s">
        <v>635</v>
      </c>
      <c r="G53" s="86" t="s">
        <v>636</v>
      </c>
      <c r="H53" s="327" t="s">
        <v>684</v>
      </c>
      <c r="I53" s="42">
        <v>92953521</v>
      </c>
      <c r="J53" s="89" t="s">
        <v>12</v>
      </c>
      <c r="K53" s="90">
        <v>0.7</v>
      </c>
      <c r="L53" s="91"/>
      <c r="M53" s="28">
        <f>855-195</f>
        <v>660</v>
      </c>
      <c r="N53" s="28">
        <f>2122-325</f>
        <v>1797</v>
      </c>
      <c r="O53" s="28">
        <f t="shared" si="0"/>
        <v>2457</v>
      </c>
      <c r="P53" s="91"/>
      <c r="Q53" s="28">
        <f>855-195</f>
        <v>660</v>
      </c>
      <c r="R53" s="28">
        <f>2122-325</f>
        <v>1797</v>
      </c>
      <c r="S53" s="28">
        <f t="shared" si="1"/>
        <v>2457</v>
      </c>
      <c r="T53" s="91"/>
      <c r="U53" s="28">
        <f t="shared" si="2"/>
        <v>1320</v>
      </c>
      <c r="V53" s="28">
        <f t="shared" si="3"/>
        <v>3594</v>
      </c>
      <c r="W53" s="28">
        <f t="shared" si="4"/>
        <v>4914</v>
      </c>
    </row>
    <row r="54" spans="1:23" ht="28.5">
      <c r="A54" s="603" t="s">
        <v>7</v>
      </c>
      <c r="B54" s="84" t="s">
        <v>8</v>
      </c>
      <c r="C54" s="85" t="s">
        <v>683</v>
      </c>
      <c r="D54" s="86"/>
      <c r="E54" s="87">
        <v>2</v>
      </c>
      <c r="F54" s="87" t="s">
        <v>635</v>
      </c>
      <c r="G54" s="86" t="s">
        <v>636</v>
      </c>
      <c r="H54" s="327" t="s">
        <v>685</v>
      </c>
      <c r="I54" s="42">
        <v>96009294</v>
      </c>
      <c r="J54" s="89" t="s">
        <v>12</v>
      </c>
      <c r="K54" s="90">
        <v>0.8</v>
      </c>
      <c r="L54" s="91"/>
      <c r="M54" s="28">
        <f>1065-43</f>
        <v>1022</v>
      </c>
      <c r="N54" s="28">
        <f>2474-137</f>
        <v>2337</v>
      </c>
      <c r="O54" s="28">
        <f t="shared" si="0"/>
        <v>3359</v>
      </c>
      <c r="P54" s="91"/>
      <c r="Q54" s="28">
        <f>1065-43</f>
        <v>1022</v>
      </c>
      <c r="R54" s="28">
        <f>2474-137</f>
        <v>2337</v>
      </c>
      <c r="S54" s="28">
        <f t="shared" si="1"/>
        <v>3359</v>
      </c>
      <c r="T54" s="91"/>
      <c r="U54" s="28">
        <f t="shared" si="2"/>
        <v>2044</v>
      </c>
      <c r="V54" s="28">
        <f t="shared" si="3"/>
        <v>4674</v>
      </c>
      <c r="W54" s="28">
        <f t="shared" si="4"/>
        <v>6718</v>
      </c>
    </row>
    <row r="55" spans="1:23" ht="28.5">
      <c r="A55" s="603" t="s">
        <v>7</v>
      </c>
      <c r="B55" s="84" t="s">
        <v>8</v>
      </c>
      <c r="C55" s="85" t="s">
        <v>686</v>
      </c>
      <c r="D55" s="86"/>
      <c r="E55" s="87">
        <v>12</v>
      </c>
      <c r="F55" s="87" t="s">
        <v>635</v>
      </c>
      <c r="G55" s="86" t="s">
        <v>636</v>
      </c>
      <c r="H55" s="327" t="s">
        <v>687</v>
      </c>
      <c r="I55" s="42">
        <v>89012554</v>
      </c>
      <c r="J55" s="89" t="s">
        <v>12</v>
      </c>
      <c r="K55" s="90">
        <v>0.6</v>
      </c>
      <c r="L55" s="91"/>
      <c r="M55" s="28">
        <f>830-195</f>
        <v>635</v>
      </c>
      <c r="N55" s="28">
        <f>1812-285</f>
        <v>1527</v>
      </c>
      <c r="O55" s="28">
        <f t="shared" si="0"/>
        <v>2162</v>
      </c>
      <c r="P55" s="91"/>
      <c r="Q55" s="28">
        <f>830-195</f>
        <v>635</v>
      </c>
      <c r="R55" s="28">
        <f>1812-285</f>
        <v>1527</v>
      </c>
      <c r="S55" s="28">
        <f t="shared" si="1"/>
        <v>2162</v>
      </c>
      <c r="T55" s="91"/>
      <c r="U55" s="28">
        <f t="shared" si="2"/>
        <v>1270</v>
      </c>
      <c r="V55" s="28">
        <f t="shared" si="3"/>
        <v>3054</v>
      </c>
      <c r="W55" s="28">
        <f t="shared" si="4"/>
        <v>4324</v>
      </c>
    </row>
    <row r="56" spans="1:23" ht="28.5">
      <c r="A56" s="603" t="s">
        <v>7</v>
      </c>
      <c r="B56" s="84" t="s">
        <v>8</v>
      </c>
      <c r="C56" s="85" t="s">
        <v>688</v>
      </c>
      <c r="D56" s="86"/>
      <c r="E56" s="87">
        <v>3</v>
      </c>
      <c r="F56" s="87" t="s">
        <v>635</v>
      </c>
      <c r="G56" s="86" t="s">
        <v>636</v>
      </c>
      <c r="H56" s="327" t="s">
        <v>689</v>
      </c>
      <c r="I56" s="42">
        <v>92953453</v>
      </c>
      <c r="J56" s="89" t="s">
        <v>12</v>
      </c>
      <c r="K56" s="90">
        <v>0.6</v>
      </c>
      <c r="L56" s="91"/>
      <c r="M56" s="28">
        <f>587-103</f>
        <v>484</v>
      </c>
      <c r="N56" s="28">
        <f>1440-204</f>
        <v>1236</v>
      </c>
      <c r="O56" s="28">
        <f t="shared" si="0"/>
        <v>1720</v>
      </c>
      <c r="P56" s="91"/>
      <c r="Q56" s="28">
        <f>587-103</f>
        <v>484</v>
      </c>
      <c r="R56" s="28">
        <f>1440-204</f>
        <v>1236</v>
      </c>
      <c r="S56" s="28">
        <f t="shared" si="1"/>
        <v>1720</v>
      </c>
      <c r="T56" s="91"/>
      <c r="U56" s="28">
        <f t="shared" si="2"/>
        <v>968</v>
      </c>
      <c r="V56" s="28">
        <f t="shared" si="3"/>
        <v>2472</v>
      </c>
      <c r="W56" s="28">
        <f t="shared" si="4"/>
        <v>3440</v>
      </c>
    </row>
    <row r="57" spans="1:23" ht="28.5">
      <c r="A57" s="603" t="s">
        <v>7</v>
      </c>
      <c r="B57" s="84" t="s">
        <v>8</v>
      </c>
      <c r="C57" s="85" t="s">
        <v>688</v>
      </c>
      <c r="D57" s="86"/>
      <c r="E57" s="87">
        <v>4</v>
      </c>
      <c r="F57" s="87" t="s">
        <v>635</v>
      </c>
      <c r="G57" s="86" t="s">
        <v>636</v>
      </c>
      <c r="H57" s="327" t="s">
        <v>690</v>
      </c>
      <c r="I57" s="42">
        <v>92953344</v>
      </c>
      <c r="J57" s="89" t="s">
        <v>12</v>
      </c>
      <c r="K57" s="90">
        <v>0.6</v>
      </c>
      <c r="L57" s="91"/>
      <c r="M57" s="28">
        <f>655-130</f>
        <v>525</v>
      </c>
      <c r="N57" s="28">
        <f>1633-238</f>
        <v>1395</v>
      </c>
      <c r="O57" s="28">
        <f t="shared" si="0"/>
        <v>1920</v>
      </c>
      <c r="P57" s="91"/>
      <c r="Q57" s="28">
        <f>655-130</f>
        <v>525</v>
      </c>
      <c r="R57" s="28">
        <f>1633-238</f>
        <v>1395</v>
      </c>
      <c r="S57" s="28">
        <f t="shared" si="1"/>
        <v>1920</v>
      </c>
      <c r="T57" s="91"/>
      <c r="U57" s="28">
        <f t="shared" si="2"/>
        <v>1050</v>
      </c>
      <c r="V57" s="28">
        <f t="shared" si="3"/>
        <v>2790</v>
      </c>
      <c r="W57" s="28">
        <f t="shared" si="4"/>
        <v>3840</v>
      </c>
    </row>
    <row r="58" spans="1:23" ht="28.5">
      <c r="A58" s="603" t="s">
        <v>7</v>
      </c>
      <c r="B58" s="84" t="s">
        <v>8</v>
      </c>
      <c r="C58" s="85" t="s">
        <v>691</v>
      </c>
      <c r="D58" s="86"/>
      <c r="E58" s="87">
        <v>19</v>
      </c>
      <c r="F58" s="87" t="s">
        <v>635</v>
      </c>
      <c r="G58" s="86" t="s">
        <v>636</v>
      </c>
      <c r="H58" s="327" t="s">
        <v>692</v>
      </c>
      <c r="I58" s="42">
        <v>92953529</v>
      </c>
      <c r="J58" s="89" t="s">
        <v>12</v>
      </c>
      <c r="K58" s="90">
        <v>0.9</v>
      </c>
      <c r="L58" s="91"/>
      <c r="M58" s="28">
        <f>1352-274</f>
        <v>1078</v>
      </c>
      <c r="N58" s="28">
        <f>3344-536</f>
        <v>2808</v>
      </c>
      <c r="O58" s="28">
        <f t="shared" si="0"/>
        <v>3886</v>
      </c>
      <c r="P58" s="91"/>
      <c r="Q58" s="28">
        <f>1352-274</f>
        <v>1078</v>
      </c>
      <c r="R58" s="28">
        <f>3344-536</f>
        <v>2808</v>
      </c>
      <c r="S58" s="28">
        <f t="shared" si="1"/>
        <v>3886</v>
      </c>
      <c r="T58" s="91"/>
      <c r="U58" s="28">
        <f t="shared" si="2"/>
        <v>2156</v>
      </c>
      <c r="V58" s="28">
        <f t="shared" si="3"/>
        <v>5616</v>
      </c>
      <c r="W58" s="28">
        <f t="shared" si="4"/>
        <v>7772</v>
      </c>
    </row>
    <row r="59" spans="1:23" ht="28.5">
      <c r="A59" s="603" t="s">
        <v>7</v>
      </c>
      <c r="B59" s="84" t="s">
        <v>8</v>
      </c>
      <c r="C59" s="85" t="s">
        <v>691</v>
      </c>
      <c r="D59" s="86"/>
      <c r="E59" s="87" t="s">
        <v>1304</v>
      </c>
      <c r="F59" s="87" t="s">
        <v>635</v>
      </c>
      <c r="G59" s="86" t="s">
        <v>636</v>
      </c>
      <c r="H59" s="327" t="s">
        <v>693</v>
      </c>
      <c r="I59" s="42">
        <v>92953192</v>
      </c>
      <c r="J59" s="89" t="s">
        <v>12</v>
      </c>
      <c r="K59" s="90">
        <v>0.7</v>
      </c>
      <c r="L59" s="91"/>
      <c r="M59" s="28">
        <f>817-150</f>
        <v>667</v>
      </c>
      <c r="N59" s="28">
        <f>1886-277</f>
        <v>1609</v>
      </c>
      <c r="O59" s="28">
        <f t="shared" si="0"/>
        <v>2276</v>
      </c>
      <c r="P59" s="91"/>
      <c r="Q59" s="28">
        <f>817-150</f>
        <v>667</v>
      </c>
      <c r="R59" s="28">
        <f>1886-277</f>
        <v>1609</v>
      </c>
      <c r="S59" s="28">
        <f t="shared" si="1"/>
        <v>2276</v>
      </c>
      <c r="T59" s="91"/>
      <c r="U59" s="28">
        <f t="shared" si="2"/>
        <v>1334</v>
      </c>
      <c r="V59" s="28">
        <f t="shared" si="3"/>
        <v>3218</v>
      </c>
      <c r="W59" s="28">
        <f t="shared" si="4"/>
        <v>4552</v>
      </c>
    </row>
    <row r="60" spans="1:23" ht="28.5">
      <c r="A60" s="603" t="s">
        <v>7</v>
      </c>
      <c r="B60" s="84" t="s">
        <v>8</v>
      </c>
      <c r="C60" s="85" t="s">
        <v>695</v>
      </c>
      <c r="D60" s="86"/>
      <c r="E60" s="87"/>
      <c r="F60" s="87" t="s">
        <v>635</v>
      </c>
      <c r="G60" s="86" t="s">
        <v>636</v>
      </c>
      <c r="H60" s="327" t="s">
        <v>694</v>
      </c>
      <c r="I60" s="42">
        <v>92953488</v>
      </c>
      <c r="J60" s="89" t="s">
        <v>12</v>
      </c>
      <c r="K60" s="90">
        <v>0.9</v>
      </c>
      <c r="L60" s="91"/>
      <c r="M60" s="28">
        <f>1245-231</f>
        <v>1014</v>
      </c>
      <c r="N60" s="28">
        <f>2970-449</f>
        <v>2521</v>
      </c>
      <c r="O60" s="28">
        <f t="shared" si="0"/>
        <v>3535</v>
      </c>
      <c r="P60" s="91"/>
      <c r="Q60" s="28">
        <f>1245-231</f>
        <v>1014</v>
      </c>
      <c r="R60" s="28">
        <f>2970-449</f>
        <v>2521</v>
      </c>
      <c r="S60" s="28">
        <f t="shared" si="1"/>
        <v>3535</v>
      </c>
      <c r="T60" s="91"/>
      <c r="U60" s="28">
        <f t="shared" si="2"/>
        <v>2028</v>
      </c>
      <c r="V60" s="28">
        <f t="shared" si="3"/>
        <v>5042</v>
      </c>
      <c r="W60" s="28">
        <f t="shared" si="4"/>
        <v>7070</v>
      </c>
    </row>
    <row r="61" spans="1:23" ht="28.5">
      <c r="A61" s="603" t="s">
        <v>7</v>
      </c>
      <c r="B61" s="84" t="s">
        <v>8</v>
      </c>
      <c r="C61" s="85" t="s">
        <v>695</v>
      </c>
      <c r="D61" s="86"/>
      <c r="E61" s="87">
        <v>1</v>
      </c>
      <c r="F61" s="87" t="s">
        <v>635</v>
      </c>
      <c r="G61" s="86" t="s">
        <v>636</v>
      </c>
      <c r="H61" s="327" t="s">
        <v>696</v>
      </c>
      <c r="I61" s="42">
        <v>92953503</v>
      </c>
      <c r="J61" s="89" t="s">
        <v>12</v>
      </c>
      <c r="K61" s="90">
        <v>0.8</v>
      </c>
      <c r="L61" s="91"/>
      <c r="M61" s="28">
        <f>537-108</f>
        <v>429</v>
      </c>
      <c r="N61" s="28">
        <f>2380-384</f>
        <v>1996</v>
      </c>
      <c r="O61" s="28">
        <f t="shared" si="0"/>
        <v>2425</v>
      </c>
      <c r="P61" s="91"/>
      <c r="Q61" s="28">
        <f>537-108</f>
        <v>429</v>
      </c>
      <c r="R61" s="28">
        <f>2380-384</f>
        <v>1996</v>
      </c>
      <c r="S61" s="28">
        <f t="shared" si="1"/>
        <v>2425</v>
      </c>
      <c r="T61" s="91"/>
      <c r="U61" s="28">
        <f t="shared" si="2"/>
        <v>858</v>
      </c>
      <c r="V61" s="28">
        <f t="shared" si="3"/>
        <v>3992</v>
      </c>
      <c r="W61" s="28">
        <f t="shared" si="4"/>
        <v>4850</v>
      </c>
    </row>
    <row r="62" spans="1:23" ht="28.5">
      <c r="A62" s="603" t="s">
        <v>7</v>
      </c>
      <c r="B62" s="84" t="s">
        <v>8</v>
      </c>
      <c r="C62" s="85" t="s">
        <v>695</v>
      </c>
      <c r="D62" s="86"/>
      <c r="E62" s="87">
        <v>2</v>
      </c>
      <c r="F62" s="87" t="s">
        <v>635</v>
      </c>
      <c r="G62" s="86" t="s">
        <v>636</v>
      </c>
      <c r="H62" s="327" t="s">
        <v>697</v>
      </c>
      <c r="I62" s="42">
        <v>92953088</v>
      </c>
      <c r="J62" s="89" t="s">
        <v>12</v>
      </c>
      <c r="K62" s="90">
        <v>1.3</v>
      </c>
      <c r="L62" s="91"/>
      <c r="M62" s="28">
        <f>1014-203</f>
        <v>811</v>
      </c>
      <c r="N62" s="28">
        <f>3590-573</f>
        <v>3017</v>
      </c>
      <c r="O62" s="28">
        <f t="shared" si="0"/>
        <v>3828</v>
      </c>
      <c r="P62" s="91"/>
      <c r="Q62" s="28">
        <f>1014-203</f>
        <v>811</v>
      </c>
      <c r="R62" s="28">
        <f>3590-573</f>
        <v>3017</v>
      </c>
      <c r="S62" s="28">
        <f t="shared" si="1"/>
        <v>3828</v>
      </c>
      <c r="T62" s="91"/>
      <c r="U62" s="28">
        <f t="shared" si="2"/>
        <v>1622</v>
      </c>
      <c r="V62" s="28">
        <f t="shared" si="3"/>
        <v>6034</v>
      </c>
      <c r="W62" s="28">
        <f t="shared" si="4"/>
        <v>7656</v>
      </c>
    </row>
    <row r="63" spans="1:23" ht="28.5">
      <c r="A63" s="603" t="s">
        <v>7</v>
      </c>
      <c r="B63" s="84" t="s">
        <v>8</v>
      </c>
      <c r="C63" s="85" t="s">
        <v>695</v>
      </c>
      <c r="D63" s="86"/>
      <c r="E63" s="87">
        <v>6</v>
      </c>
      <c r="F63" s="87" t="s">
        <v>635</v>
      </c>
      <c r="G63" s="86" t="s">
        <v>636</v>
      </c>
      <c r="H63" s="327" t="s">
        <v>698</v>
      </c>
      <c r="I63" s="42">
        <v>92952680</v>
      </c>
      <c r="J63" s="89" t="s">
        <v>12</v>
      </c>
      <c r="K63" s="90">
        <v>0.2</v>
      </c>
      <c r="L63" s="91"/>
      <c r="M63" s="28">
        <f>224-41</f>
        <v>183</v>
      </c>
      <c r="N63" s="28">
        <f>755-143</f>
        <v>612</v>
      </c>
      <c r="O63" s="28">
        <f t="shared" si="0"/>
        <v>795</v>
      </c>
      <c r="P63" s="91"/>
      <c r="Q63" s="28">
        <f>224-41</f>
        <v>183</v>
      </c>
      <c r="R63" s="28">
        <f>755-143</f>
        <v>612</v>
      </c>
      <c r="S63" s="28">
        <f t="shared" si="1"/>
        <v>795</v>
      </c>
      <c r="T63" s="91"/>
      <c r="U63" s="28">
        <f t="shared" si="2"/>
        <v>366</v>
      </c>
      <c r="V63" s="28">
        <f t="shared" si="3"/>
        <v>1224</v>
      </c>
      <c r="W63" s="28">
        <f t="shared" si="4"/>
        <v>1590</v>
      </c>
    </row>
    <row r="64" spans="1:23" ht="28.5">
      <c r="A64" s="603" t="s">
        <v>7</v>
      </c>
      <c r="B64" s="84" t="s">
        <v>8</v>
      </c>
      <c r="C64" s="85" t="s">
        <v>695</v>
      </c>
      <c r="D64" s="86"/>
      <c r="E64" s="87">
        <v>3</v>
      </c>
      <c r="F64" s="87" t="s">
        <v>635</v>
      </c>
      <c r="G64" s="86" t="s">
        <v>636</v>
      </c>
      <c r="H64" s="327" t="s">
        <v>699</v>
      </c>
      <c r="I64" s="42">
        <v>92953486</v>
      </c>
      <c r="J64" s="89" t="s">
        <v>12</v>
      </c>
      <c r="K64" s="90">
        <v>0.2</v>
      </c>
      <c r="L64" s="91"/>
      <c r="M64" s="28">
        <f>363-79</f>
        <v>284</v>
      </c>
      <c r="N64" s="28">
        <f>1025-264</f>
        <v>761</v>
      </c>
      <c r="O64" s="28">
        <f t="shared" si="0"/>
        <v>1045</v>
      </c>
      <c r="P64" s="91"/>
      <c r="Q64" s="28">
        <f>363-79</f>
        <v>284</v>
      </c>
      <c r="R64" s="28">
        <f>1025-264</f>
        <v>761</v>
      </c>
      <c r="S64" s="28">
        <f t="shared" si="1"/>
        <v>1045</v>
      </c>
      <c r="T64" s="91"/>
      <c r="U64" s="28">
        <f t="shared" si="2"/>
        <v>568</v>
      </c>
      <c r="V64" s="28">
        <f t="shared" si="3"/>
        <v>1522</v>
      </c>
      <c r="W64" s="28">
        <f t="shared" si="4"/>
        <v>2090</v>
      </c>
    </row>
    <row r="65" spans="1:23" ht="28.5">
      <c r="A65" s="603" t="s">
        <v>7</v>
      </c>
      <c r="B65" s="84" t="s">
        <v>8</v>
      </c>
      <c r="C65" s="85" t="s">
        <v>695</v>
      </c>
      <c r="D65" s="86"/>
      <c r="E65" s="87">
        <v>9</v>
      </c>
      <c r="F65" s="87" t="s">
        <v>635</v>
      </c>
      <c r="G65" s="86" t="s">
        <v>636</v>
      </c>
      <c r="H65" s="327" t="s">
        <v>700</v>
      </c>
      <c r="I65" s="42">
        <v>92953233</v>
      </c>
      <c r="J65" s="89" t="s">
        <v>12</v>
      </c>
      <c r="K65" s="90">
        <v>1.1</v>
      </c>
      <c r="L65" s="91"/>
      <c r="M65" s="28">
        <f>1355-267</f>
        <v>1088</v>
      </c>
      <c r="N65" s="28">
        <f>5788-921</f>
        <v>4867</v>
      </c>
      <c r="O65" s="28">
        <f t="shared" si="0"/>
        <v>5955</v>
      </c>
      <c r="P65" s="91"/>
      <c r="Q65" s="28">
        <f>1355-267</f>
        <v>1088</v>
      </c>
      <c r="R65" s="28">
        <f>5788-921</f>
        <v>4867</v>
      </c>
      <c r="S65" s="28">
        <f t="shared" si="1"/>
        <v>5955</v>
      </c>
      <c r="T65" s="91"/>
      <c r="U65" s="28">
        <f t="shared" si="2"/>
        <v>2176</v>
      </c>
      <c r="V65" s="28">
        <f t="shared" si="3"/>
        <v>9734</v>
      </c>
      <c r="W65" s="28">
        <f t="shared" si="4"/>
        <v>11910</v>
      </c>
    </row>
    <row r="66" spans="1:23" ht="28.5">
      <c r="A66" s="603" t="s">
        <v>7</v>
      </c>
      <c r="B66" s="84" t="s">
        <v>8</v>
      </c>
      <c r="C66" s="85" t="s">
        <v>695</v>
      </c>
      <c r="D66" s="86"/>
      <c r="E66" s="87">
        <v>10</v>
      </c>
      <c r="F66" s="87" t="s">
        <v>635</v>
      </c>
      <c r="G66" s="86" t="s">
        <v>636</v>
      </c>
      <c r="H66" s="327" t="s">
        <v>701</v>
      </c>
      <c r="I66" s="42">
        <v>92953215</v>
      </c>
      <c r="J66" s="89" t="s">
        <v>12</v>
      </c>
      <c r="K66" s="90">
        <v>1.3</v>
      </c>
      <c r="L66" s="91"/>
      <c r="M66" s="28">
        <f>1283-268</f>
        <v>1015</v>
      </c>
      <c r="N66" s="28">
        <f>5616-927</f>
        <v>4689</v>
      </c>
      <c r="O66" s="28">
        <f t="shared" si="0"/>
        <v>5704</v>
      </c>
      <c r="P66" s="91"/>
      <c r="Q66" s="28">
        <f>1283-268</f>
        <v>1015</v>
      </c>
      <c r="R66" s="28">
        <f>5616-927</f>
        <v>4689</v>
      </c>
      <c r="S66" s="28">
        <f t="shared" si="1"/>
        <v>5704</v>
      </c>
      <c r="T66" s="91"/>
      <c r="U66" s="28">
        <f t="shared" si="2"/>
        <v>2030</v>
      </c>
      <c r="V66" s="28">
        <f t="shared" si="3"/>
        <v>9378</v>
      </c>
      <c r="W66" s="28">
        <f t="shared" si="4"/>
        <v>11408</v>
      </c>
    </row>
    <row r="67" spans="1:23" ht="28.5">
      <c r="A67" s="604" t="s">
        <v>7</v>
      </c>
      <c r="B67" s="92" t="s">
        <v>8</v>
      </c>
      <c r="C67" s="93" t="s">
        <v>695</v>
      </c>
      <c r="D67" s="94"/>
      <c r="E67" s="315">
        <v>7</v>
      </c>
      <c r="F67" s="315" t="s">
        <v>635</v>
      </c>
      <c r="G67" s="94" t="s">
        <v>636</v>
      </c>
      <c r="H67" s="623" t="s">
        <v>702</v>
      </c>
      <c r="I67" s="45">
        <v>92953204</v>
      </c>
      <c r="J67" s="500" t="s">
        <v>12</v>
      </c>
      <c r="K67" s="501">
        <v>0.6</v>
      </c>
      <c r="L67" s="502"/>
      <c r="M67" s="142">
        <f>1176-297</f>
        <v>879</v>
      </c>
      <c r="N67" s="142">
        <f>3393-538</f>
        <v>2855</v>
      </c>
      <c r="O67" s="28">
        <f t="shared" si="0"/>
        <v>3734</v>
      </c>
      <c r="P67" s="502"/>
      <c r="Q67" s="142">
        <f>1176-297</f>
        <v>879</v>
      </c>
      <c r="R67" s="142">
        <f>3393-538</f>
        <v>2855</v>
      </c>
      <c r="S67" s="28">
        <f t="shared" si="1"/>
        <v>3734</v>
      </c>
      <c r="T67" s="502"/>
      <c r="U67" s="28">
        <f t="shared" si="2"/>
        <v>1758</v>
      </c>
      <c r="V67" s="28">
        <f t="shared" si="3"/>
        <v>5710</v>
      </c>
      <c r="W67" s="28">
        <f t="shared" si="4"/>
        <v>7468</v>
      </c>
    </row>
    <row r="68" spans="1:23" ht="28.5">
      <c r="A68" s="603" t="s">
        <v>7</v>
      </c>
      <c r="B68" s="84" t="s">
        <v>8</v>
      </c>
      <c r="C68" s="85" t="s">
        <v>695</v>
      </c>
      <c r="D68" s="86"/>
      <c r="E68" s="87"/>
      <c r="F68" s="87" t="s">
        <v>635</v>
      </c>
      <c r="G68" s="94" t="s">
        <v>636</v>
      </c>
      <c r="H68" s="327" t="s">
        <v>1933</v>
      </c>
      <c r="I68" s="42">
        <v>83638353</v>
      </c>
      <c r="J68" s="89" t="s">
        <v>12</v>
      </c>
      <c r="K68" s="90">
        <v>1</v>
      </c>
      <c r="L68" s="91"/>
      <c r="M68" s="28">
        <f>1185-872</f>
        <v>313</v>
      </c>
      <c r="N68" s="28">
        <f>3545-2633</f>
        <v>912</v>
      </c>
      <c r="O68" s="28">
        <f t="shared" si="0"/>
        <v>1225</v>
      </c>
      <c r="P68" s="91"/>
      <c r="Q68" s="28">
        <f>1185-872</f>
        <v>313</v>
      </c>
      <c r="R68" s="28">
        <f>3545-2633</f>
        <v>912</v>
      </c>
      <c r="S68" s="28">
        <f t="shared" si="1"/>
        <v>1225</v>
      </c>
      <c r="T68" s="91"/>
      <c r="U68" s="28">
        <f t="shared" si="2"/>
        <v>626</v>
      </c>
      <c r="V68" s="28">
        <f t="shared" si="3"/>
        <v>1824</v>
      </c>
      <c r="W68" s="28">
        <f t="shared" si="4"/>
        <v>2450</v>
      </c>
    </row>
    <row r="69" spans="1:23" ht="28.5">
      <c r="A69" s="603" t="s">
        <v>7</v>
      </c>
      <c r="B69" s="84" t="s">
        <v>8</v>
      </c>
      <c r="C69" s="85" t="s">
        <v>691</v>
      </c>
      <c r="D69" s="86"/>
      <c r="E69" s="87"/>
      <c r="F69" s="315" t="s">
        <v>635</v>
      </c>
      <c r="G69" s="94" t="s">
        <v>636</v>
      </c>
      <c r="H69" s="327" t="s">
        <v>1934</v>
      </c>
      <c r="I69" s="42">
        <v>83638248</v>
      </c>
      <c r="J69" s="89" t="s">
        <v>12</v>
      </c>
      <c r="K69" s="90">
        <v>1</v>
      </c>
      <c r="L69" s="91"/>
      <c r="M69" s="28">
        <f>1381-1076</f>
        <v>305</v>
      </c>
      <c r="N69" s="28">
        <f>4222-3346</f>
        <v>876</v>
      </c>
      <c r="O69" s="28">
        <f t="shared" si="0"/>
        <v>1181</v>
      </c>
      <c r="P69" s="91"/>
      <c r="Q69" s="28">
        <f>1381-1076</f>
        <v>305</v>
      </c>
      <c r="R69" s="28">
        <f>4222-3346</f>
        <v>876</v>
      </c>
      <c r="S69" s="28">
        <f t="shared" si="1"/>
        <v>1181</v>
      </c>
      <c r="T69" s="91"/>
      <c r="U69" s="28">
        <f t="shared" si="2"/>
        <v>610</v>
      </c>
      <c r="V69" s="28">
        <f t="shared" si="3"/>
        <v>1752</v>
      </c>
      <c r="W69" s="28">
        <f t="shared" si="4"/>
        <v>2362</v>
      </c>
    </row>
    <row r="70" spans="1:23" ht="28.5">
      <c r="A70" s="603" t="s">
        <v>7</v>
      </c>
      <c r="B70" s="84" t="s">
        <v>8</v>
      </c>
      <c r="C70" s="85" t="s">
        <v>1935</v>
      </c>
      <c r="D70" s="86"/>
      <c r="E70" s="87"/>
      <c r="F70" s="87" t="s">
        <v>635</v>
      </c>
      <c r="G70" s="86" t="s">
        <v>636</v>
      </c>
      <c r="H70" s="327" t="s">
        <v>1936</v>
      </c>
      <c r="I70" s="42">
        <v>83991151</v>
      </c>
      <c r="J70" s="89" t="s">
        <v>12</v>
      </c>
      <c r="K70" s="90">
        <v>0.2</v>
      </c>
      <c r="L70" s="91"/>
      <c r="M70" s="28">
        <f>245-174</f>
        <v>71</v>
      </c>
      <c r="N70" s="28">
        <f>590-410</f>
        <v>180</v>
      </c>
      <c r="O70" s="28">
        <f t="shared" si="0"/>
        <v>251</v>
      </c>
      <c r="P70" s="91"/>
      <c r="Q70" s="28">
        <f>245-174</f>
        <v>71</v>
      </c>
      <c r="R70" s="28">
        <f>590-410</f>
        <v>180</v>
      </c>
      <c r="S70" s="28">
        <f t="shared" si="1"/>
        <v>251</v>
      </c>
      <c r="T70" s="91"/>
      <c r="U70" s="28">
        <f t="shared" si="2"/>
        <v>142</v>
      </c>
      <c r="V70" s="28">
        <f t="shared" si="3"/>
        <v>360</v>
      </c>
      <c r="W70" s="28">
        <f t="shared" si="4"/>
        <v>502</v>
      </c>
    </row>
    <row r="71" spans="1:23" ht="29.25" thickBot="1">
      <c r="A71" s="603" t="s">
        <v>7</v>
      </c>
      <c r="B71" s="84" t="s">
        <v>8</v>
      </c>
      <c r="C71" s="85" t="s">
        <v>676</v>
      </c>
      <c r="D71" s="86"/>
      <c r="E71" s="87"/>
      <c r="F71" s="87" t="s">
        <v>635</v>
      </c>
      <c r="G71" s="94" t="s">
        <v>636</v>
      </c>
      <c r="H71" s="327" t="s">
        <v>1937</v>
      </c>
      <c r="I71" s="42">
        <v>83991229</v>
      </c>
      <c r="J71" s="89" t="s">
        <v>12</v>
      </c>
      <c r="K71" s="90">
        <v>2.5</v>
      </c>
      <c r="L71" s="91"/>
      <c r="M71" s="28">
        <f>1168-825</f>
        <v>343</v>
      </c>
      <c r="N71" s="28">
        <f>2758-1890</f>
        <v>868</v>
      </c>
      <c r="O71" s="28">
        <f t="shared" si="0"/>
        <v>1211</v>
      </c>
      <c r="P71" s="91"/>
      <c r="Q71" s="28">
        <f>1168-825</f>
        <v>343</v>
      </c>
      <c r="R71" s="28">
        <f>2758-1890</f>
        <v>868</v>
      </c>
      <c r="S71" s="28">
        <f t="shared" si="1"/>
        <v>1211</v>
      </c>
      <c r="T71" s="91"/>
      <c r="U71" s="28">
        <f t="shared" si="2"/>
        <v>686</v>
      </c>
      <c r="V71" s="28">
        <f t="shared" si="3"/>
        <v>1736</v>
      </c>
      <c r="W71" s="28">
        <f t="shared" si="4"/>
        <v>2422</v>
      </c>
    </row>
    <row r="72" spans="2:23" ht="39" customHeight="1">
      <c r="B72" s="433" t="s">
        <v>150</v>
      </c>
      <c r="C72" s="434" t="s">
        <v>703</v>
      </c>
      <c r="D72" s="95"/>
      <c r="F72" s="46"/>
      <c r="G72" s="521" t="s">
        <v>2030</v>
      </c>
      <c r="H72" s="435" t="s">
        <v>703</v>
      </c>
      <c r="M72" s="96"/>
      <c r="N72" s="51" t="s">
        <v>151</v>
      </c>
      <c r="O72" s="259">
        <f>SUM(O18:O71)</f>
        <v>170471</v>
      </c>
      <c r="Q72" s="96"/>
      <c r="R72" s="51" t="s">
        <v>151</v>
      </c>
      <c r="S72" s="259">
        <f>SUM(S18:S71)</f>
        <v>170471</v>
      </c>
      <c r="U72" s="96"/>
      <c r="V72" s="51" t="s">
        <v>151</v>
      </c>
      <c r="W72" s="259">
        <f>SUM(W18:W71)</f>
        <v>340942</v>
      </c>
    </row>
    <row r="73" spans="2:8" ht="14.25">
      <c r="B73" s="436"/>
      <c r="C73" s="437" t="s">
        <v>704</v>
      </c>
      <c r="D73" s="98"/>
      <c r="F73" s="46"/>
      <c r="G73" s="254"/>
      <c r="H73" s="438" t="s">
        <v>704</v>
      </c>
    </row>
    <row r="74" spans="2:8" ht="15" thickBot="1">
      <c r="B74" s="436"/>
      <c r="C74" s="437" t="s">
        <v>1760</v>
      </c>
      <c r="D74" s="98"/>
      <c r="F74" s="46"/>
      <c r="G74" s="268"/>
      <c r="H74" s="439" t="s">
        <v>1760</v>
      </c>
    </row>
    <row r="75" spans="2:4" ht="14.25">
      <c r="B75" s="436" t="s">
        <v>1640</v>
      </c>
      <c r="C75" s="437" t="s">
        <v>1916</v>
      </c>
      <c r="D75" s="98"/>
    </row>
    <row r="76" spans="2:11" ht="15.75" thickBot="1">
      <c r="B76" s="200" t="s">
        <v>1644</v>
      </c>
      <c r="C76" s="66" t="s">
        <v>1684</v>
      </c>
      <c r="D76" s="359"/>
      <c r="I76" s="29"/>
      <c r="J76" s="29"/>
      <c r="K76" s="29"/>
    </row>
    <row r="77" spans="2:13" ht="15">
      <c r="B77" s="263"/>
      <c r="C77" s="64"/>
      <c r="D77" s="264"/>
      <c r="F77" s="29"/>
      <c r="G77" s="29"/>
      <c r="H77" s="29"/>
      <c r="I77" s="29"/>
      <c r="J77" s="29"/>
      <c r="K77" s="29"/>
      <c r="L77" s="54" t="s">
        <v>155</v>
      </c>
      <c r="M77" s="2">
        <f>W72</f>
        <v>340942</v>
      </c>
    </row>
    <row r="78" spans="2:11" ht="15.75" thickBot="1">
      <c r="B78" s="263"/>
      <c r="C78" s="64"/>
      <c r="D78" s="264"/>
      <c r="F78" s="29"/>
      <c r="G78" s="29"/>
      <c r="H78" s="29"/>
      <c r="I78" s="29"/>
      <c r="J78" s="29"/>
      <c r="K78" s="29"/>
    </row>
    <row r="79" spans="6:15" ht="44.25" customHeight="1">
      <c r="F79" s="29"/>
      <c r="G79" s="146"/>
      <c r="H79" s="146"/>
      <c r="I79" s="146"/>
      <c r="J79" s="198"/>
      <c r="K79" s="796" t="s">
        <v>152</v>
      </c>
      <c r="L79" s="774" t="s">
        <v>2257</v>
      </c>
      <c r="M79" s="775"/>
      <c r="N79" s="776"/>
      <c r="O79" s="741" t="s">
        <v>153</v>
      </c>
    </row>
    <row r="80" spans="6:15" ht="24.75" customHeight="1">
      <c r="F80" s="29"/>
      <c r="G80" s="146"/>
      <c r="H80" s="194"/>
      <c r="I80" s="194"/>
      <c r="J80" s="198"/>
      <c r="K80" s="797"/>
      <c r="L80" s="701" t="s">
        <v>154</v>
      </c>
      <c r="M80" s="701" t="s">
        <v>1017</v>
      </c>
      <c r="N80" s="701" t="s">
        <v>1018</v>
      </c>
      <c r="O80" s="794"/>
    </row>
    <row r="81" spans="6:15" ht="15" thickBot="1">
      <c r="F81" s="29"/>
      <c r="G81" s="29"/>
      <c r="H81" s="135"/>
      <c r="I81" s="135"/>
      <c r="J81" s="135"/>
      <c r="K81" s="586" t="s">
        <v>12</v>
      </c>
      <c r="L81" s="53"/>
      <c r="M81" s="583">
        <f>SUM(U18:U71)</f>
        <v>83066</v>
      </c>
      <c r="N81" s="583">
        <f>SUM(V18:V71)</f>
        <v>257876</v>
      </c>
      <c r="O81" s="689">
        <v>54</v>
      </c>
    </row>
    <row r="82" spans="6:15" ht="15" thickBot="1">
      <c r="F82" s="29"/>
      <c r="G82" s="128"/>
      <c r="H82" s="135"/>
      <c r="I82" s="135"/>
      <c r="J82" s="135"/>
      <c r="K82" s="14" t="s">
        <v>155</v>
      </c>
      <c r="L82" s="392"/>
      <c r="M82" s="16">
        <f>M81</f>
        <v>83066</v>
      </c>
      <c r="N82" s="16">
        <f>N81</f>
        <v>257876</v>
      </c>
      <c r="O82" s="595">
        <f>SUM(O81)</f>
        <v>54</v>
      </c>
    </row>
    <row r="83" spans="6:15" ht="18.75" thickBot="1">
      <c r="F83" s="29"/>
      <c r="G83" s="29"/>
      <c r="H83" s="197"/>
      <c r="I83" s="135"/>
      <c r="J83" s="135"/>
      <c r="L83" s="18" t="s">
        <v>156</v>
      </c>
      <c r="M83" s="273">
        <f>M82+N82</f>
        <v>340942</v>
      </c>
      <c r="N83" s="2"/>
      <c r="O83" s="2"/>
    </row>
    <row r="84" spans="6:11" ht="14.25">
      <c r="F84" s="29"/>
      <c r="G84" s="29"/>
      <c r="H84" s="29"/>
      <c r="I84" s="29"/>
      <c r="J84" s="29"/>
      <c r="K84" s="29"/>
    </row>
    <row r="85" spans="6:11" ht="14.25">
      <c r="F85" s="29"/>
      <c r="G85" s="29"/>
      <c r="H85" s="29"/>
      <c r="I85" s="29"/>
      <c r="J85" s="29"/>
      <c r="K85" s="29"/>
    </row>
    <row r="86" spans="6:11" ht="14.25">
      <c r="F86" s="29"/>
      <c r="G86" s="29"/>
      <c r="H86" s="29"/>
      <c r="I86" s="29"/>
      <c r="J86" s="29"/>
      <c r="K86" s="29"/>
    </row>
  </sheetData>
  <sheetProtection/>
  <mergeCells count="23">
    <mergeCell ref="B1:L1"/>
    <mergeCell ref="K79:K80"/>
    <mergeCell ref="L79:N79"/>
    <mergeCell ref="O79:O80"/>
    <mergeCell ref="B3:I3"/>
    <mergeCell ref="B5:I5"/>
    <mergeCell ref="I15:I17"/>
    <mergeCell ref="F15:F17"/>
    <mergeCell ref="G15:G17"/>
    <mergeCell ref="L16:O16"/>
    <mergeCell ref="T15:W15"/>
    <mergeCell ref="P16:S16"/>
    <mergeCell ref="T16:W16"/>
    <mergeCell ref="J15:J17"/>
    <mergeCell ref="K15:K17"/>
    <mergeCell ref="L15:O15"/>
    <mergeCell ref="P15:S15"/>
    <mergeCell ref="A15:A17"/>
    <mergeCell ref="B15:B17"/>
    <mergeCell ref="C15:C17"/>
    <mergeCell ref="D15:D17"/>
    <mergeCell ref="H15:H17"/>
    <mergeCell ref="E15:E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6"/>
  <sheetViews>
    <sheetView zoomScale="50" zoomScaleNormal="50" zoomScalePageLayoutView="0" workbookViewId="0" topLeftCell="A64">
      <selection activeCell="N12" sqref="N12"/>
    </sheetView>
  </sheetViews>
  <sheetFormatPr defaultColWidth="8.796875" defaultRowHeight="14.25"/>
  <cols>
    <col min="1" max="1" width="13.69921875" style="1" customWidth="1"/>
    <col min="2" max="2" width="12.8984375" style="0" customWidth="1"/>
    <col min="3" max="3" width="15.19921875" style="0" customWidth="1"/>
    <col min="4" max="4" width="12.3984375" style="0" customWidth="1"/>
    <col min="5" max="5" width="13.19921875" style="0" customWidth="1"/>
    <col min="6" max="6" width="11.3984375" style="0" customWidth="1"/>
    <col min="7" max="7" width="17.5" style="0" customWidth="1"/>
    <col min="8" max="8" width="27.3984375" style="0" customWidth="1"/>
    <col min="9" max="9" width="15.69921875" style="0" customWidth="1"/>
    <col min="10" max="10" width="11.19921875" style="0" customWidth="1"/>
    <col min="11" max="11" width="13.69921875" style="1" customWidth="1"/>
    <col min="12" max="12" width="14.5" style="0" customWidth="1"/>
    <col min="13" max="13" width="14.19921875" style="0" customWidth="1"/>
    <col min="14" max="14" width="17.19921875" style="0" customWidth="1"/>
    <col min="15" max="15" width="17.09765625" style="0" customWidth="1"/>
    <col min="16" max="16" width="15" style="0" customWidth="1"/>
    <col min="17" max="17" width="15.3984375" style="0" customWidth="1"/>
    <col min="18" max="18" width="15.59765625" style="0" customWidth="1"/>
    <col min="19" max="19" width="22" style="0" customWidth="1"/>
    <col min="20" max="20" width="21.8984375" style="0" customWidth="1"/>
    <col min="21" max="21" width="20.69921875" style="0" customWidth="1"/>
    <col min="22" max="22" width="15.19921875" style="0" customWidth="1"/>
    <col min="23" max="23" width="15.69921875" style="0" customWidth="1"/>
  </cols>
  <sheetData>
    <row r="1" spans="1:12" ht="18">
      <c r="A1"/>
      <c r="B1" s="777" t="s">
        <v>2095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1" ht="15">
      <c r="A2"/>
      <c r="B2" s="182"/>
      <c r="C2" s="182"/>
      <c r="D2" s="182"/>
      <c r="E2" s="182"/>
      <c r="F2" s="182"/>
      <c r="G2" s="182"/>
      <c r="H2" s="184"/>
      <c r="I2" s="182"/>
      <c r="J2" s="182"/>
      <c r="K2" s="184"/>
    </row>
    <row r="3" spans="1:11" ht="27" customHeight="1">
      <c r="A3"/>
      <c r="B3" s="782" t="s">
        <v>1028</v>
      </c>
      <c r="C3" s="783"/>
      <c r="D3" s="783"/>
      <c r="E3" s="783"/>
      <c r="F3" s="783"/>
      <c r="G3" s="783"/>
      <c r="H3" s="783"/>
      <c r="I3" s="784"/>
      <c r="J3" s="182"/>
      <c r="K3" s="184"/>
    </row>
    <row r="4" spans="1:11" ht="15">
      <c r="A4"/>
      <c r="B4" s="183"/>
      <c r="C4" s="183"/>
      <c r="D4" s="183"/>
      <c r="E4" s="183"/>
      <c r="F4" s="183"/>
      <c r="G4" s="183"/>
      <c r="H4" s="184"/>
      <c r="I4" s="182"/>
      <c r="J4" s="182"/>
      <c r="K4" s="182"/>
    </row>
    <row r="5" spans="1:11" ht="23.25" customHeight="1">
      <c r="A5"/>
      <c r="B5" s="755" t="s">
        <v>1012</v>
      </c>
      <c r="C5" s="755"/>
      <c r="D5" s="755"/>
      <c r="E5" s="755"/>
      <c r="F5" s="755"/>
      <c r="G5" s="755"/>
      <c r="H5" s="755"/>
      <c r="I5" s="755"/>
      <c r="J5" s="182"/>
      <c r="K5" s="182"/>
    </row>
    <row r="6" spans="1:11" ht="15">
      <c r="A6"/>
      <c r="B6" s="183"/>
      <c r="C6" s="183"/>
      <c r="D6" s="183"/>
      <c r="E6" s="183"/>
      <c r="F6" s="183"/>
      <c r="G6" s="183"/>
      <c r="H6" s="184"/>
      <c r="I6" s="182"/>
      <c r="J6" s="182"/>
      <c r="K6" s="182"/>
    </row>
    <row r="7" spans="1:11" ht="15.75">
      <c r="A7"/>
      <c r="B7" s="383" t="s">
        <v>950</v>
      </c>
      <c r="C7" s="182"/>
      <c r="D7" s="183"/>
      <c r="E7" s="183"/>
      <c r="F7" s="183"/>
      <c r="G7" s="182"/>
      <c r="H7" s="184"/>
      <c r="I7" s="182"/>
      <c r="J7" s="182"/>
      <c r="K7" s="182"/>
    </row>
    <row r="8" spans="1:11" ht="15.75">
      <c r="A8"/>
      <c r="B8" s="383" t="s">
        <v>2031</v>
      </c>
      <c r="C8" s="182"/>
      <c r="D8" s="183"/>
      <c r="E8" s="183"/>
      <c r="F8" s="183"/>
      <c r="G8" s="182"/>
      <c r="H8" s="184"/>
      <c r="I8" s="182"/>
      <c r="J8" s="182"/>
      <c r="K8" s="182"/>
    </row>
    <row r="9" spans="1:15" ht="15.75">
      <c r="A9"/>
      <c r="B9" s="186" t="s">
        <v>2253</v>
      </c>
      <c r="C9" s="182"/>
      <c r="D9" s="187"/>
      <c r="E9" s="183"/>
      <c r="F9" s="183"/>
      <c r="G9" s="182"/>
      <c r="H9" s="183"/>
      <c r="I9" s="184"/>
      <c r="J9" s="182"/>
      <c r="K9" s="182"/>
      <c r="M9" s="355"/>
      <c r="O9" s="2"/>
    </row>
    <row r="10" spans="1:11" ht="15.75">
      <c r="A10"/>
      <c r="B10" s="186" t="s">
        <v>1634</v>
      </c>
      <c r="C10" s="182"/>
      <c r="D10" s="187"/>
      <c r="E10" s="183"/>
      <c r="F10" s="183"/>
      <c r="G10" s="182"/>
      <c r="H10" s="184"/>
      <c r="I10" s="182"/>
      <c r="J10" s="182"/>
      <c r="K10" s="182"/>
    </row>
    <row r="11" spans="1:11" ht="15">
      <c r="A11"/>
      <c r="B11" s="182" t="s">
        <v>1024</v>
      </c>
      <c r="C11" s="182"/>
      <c r="D11" s="182"/>
      <c r="E11" s="182"/>
      <c r="F11" s="182"/>
      <c r="G11" s="182"/>
      <c r="H11" s="184"/>
      <c r="I11" s="182"/>
      <c r="J11" s="182"/>
      <c r="K11" s="182"/>
    </row>
    <row r="12" spans="1:11" ht="15">
      <c r="A12"/>
      <c r="B12" s="182"/>
      <c r="C12" s="182"/>
      <c r="D12" s="182"/>
      <c r="E12" s="182"/>
      <c r="F12" s="182"/>
      <c r="G12" s="182"/>
      <c r="H12" s="494"/>
      <c r="I12" s="182"/>
      <c r="J12" s="182"/>
      <c r="K12" s="182"/>
    </row>
    <row r="13" spans="1:11" ht="15.75">
      <c r="A13"/>
      <c r="B13" s="188" t="s">
        <v>1015</v>
      </c>
      <c r="C13" s="185" t="s">
        <v>1016</v>
      </c>
      <c r="D13" s="187"/>
      <c r="E13" s="187"/>
      <c r="F13" s="187"/>
      <c r="G13" s="187"/>
      <c r="H13" s="581"/>
      <c r="I13" s="182"/>
      <c r="J13" s="182"/>
      <c r="K13" s="182"/>
    </row>
    <row r="14" spans="1:11" ht="15" thickBot="1">
      <c r="A14" s="82"/>
      <c r="B14" s="82"/>
      <c r="C14" s="29"/>
      <c r="D14" s="29"/>
      <c r="E14" s="29"/>
      <c r="F14" s="29"/>
      <c r="G14" s="29"/>
      <c r="H14" s="29"/>
      <c r="I14" s="29"/>
      <c r="K14"/>
    </row>
    <row r="15" spans="1:23" ht="51.75" customHeight="1">
      <c r="A15" s="801" t="s">
        <v>0</v>
      </c>
      <c r="B15" s="804" t="s">
        <v>976</v>
      </c>
      <c r="C15" s="804" t="s">
        <v>1</v>
      </c>
      <c r="D15" s="804" t="s">
        <v>2</v>
      </c>
      <c r="E15" s="798" t="s">
        <v>1020</v>
      </c>
      <c r="F15" s="798" t="s">
        <v>3</v>
      </c>
      <c r="G15" s="804" t="s">
        <v>4</v>
      </c>
      <c r="H15" s="798" t="s">
        <v>5</v>
      </c>
      <c r="I15" s="798" t="s">
        <v>738</v>
      </c>
      <c r="J15" s="798" t="s">
        <v>152</v>
      </c>
      <c r="K15" s="807" t="s">
        <v>975</v>
      </c>
      <c r="L15" s="746" t="s">
        <v>2254</v>
      </c>
      <c r="M15" s="747"/>
      <c r="N15" s="747"/>
      <c r="O15" s="748"/>
      <c r="P15" s="746" t="s">
        <v>2255</v>
      </c>
      <c r="Q15" s="747"/>
      <c r="R15" s="747"/>
      <c r="S15" s="748"/>
      <c r="T15" s="746" t="s">
        <v>2256</v>
      </c>
      <c r="U15" s="747"/>
      <c r="V15" s="747"/>
      <c r="W15" s="748"/>
    </row>
    <row r="16" spans="1:23" ht="40.5" customHeight="1">
      <c r="A16" s="802"/>
      <c r="B16" s="805"/>
      <c r="C16" s="805"/>
      <c r="D16" s="805"/>
      <c r="E16" s="799"/>
      <c r="F16" s="799"/>
      <c r="G16" s="805"/>
      <c r="H16" s="799"/>
      <c r="I16" s="799"/>
      <c r="J16" s="799"/>
      <c r="K16" s="808"/>
      <c r="L16" s="749" t="s">
        <v>1021</v>
      </c>
      <c r="M16" s="750"/>
      <c r="N16" s="750"/>
      <c r="O16" s="751"/>
      <c r="P16" s="749" t="s">
        <v>1021</v>
      </c>
      <c r="Q16" s="750"/>
      <c r="R16" s="750"/>
      <c r="S16" s="751"/>
      <c r="T16" s="749" t="s">
        <v>1021</v>
      </c>
      <c r="U16" s="750"/>
      <c r="V16" s="750"/>
      <c r="W16" s="751"/>
    </row>
    <row r="17" spans="1:23" ht="36.75" customHeight="1" thickBot="1">
      <c r="A17" s="803"/>
      <c r="B17" s="806"/>
      <c r="C17" s="806"/>
      <c r="D17" s="806"/>
      <c r="E17" s="800"/>
      <c r="F17" s="800"/>
      <c r="G17" s="806"/>
      <c r="H17" s="800"/>
      <c r="I17" s="800"/>
      <c r="J17" s="800"/>
      <c r="K17" s="809"/>
      <c r="L17" s="121" t="s">
        <v>1022</v>
      </c>
      <c r="M17" s="734" t="s">
        <v>1017</v>
      </c>
      <c r="N17" s="734" t="s">
        <v>1018</v>
      </c>
      <c r="O17" s="122" t="s">
        <v>6</v>
      </c>
      <c r="P17" s="121" t="s">
        <v>1022</v>
      </c>
      <c r="Q17" s="734" t="s">
        <v>1017</v>
      </c>
      <c r="R17" s="734" t="s">
        <v>1018</v>
      </c>
      <c r="S17" s="122" t="s">
        <v>6</v>
      </c>
      <c r="T17" s="121" t="s">
        <v>1022</v>
      </c>
      <c r="U17" s="734" t="s">
        <v>1017</v>
      </c>
      <c r="V17" s="734" t="s">
        <v>1018</v>
      </c>
      <c r="W17" s="122" t="s">
        <v>6</v>
      </c>
    </row>
    <row r="18" spans="1:23" ht="29.25" customHeight="1">
      <c r="A18" s="250" t="s">
        <v>7</v>
      </c>
      <c r="B18" s="211" t="s">
        <v>157</v>
      </c>
      <c r="C18" s="211" t="s">
        <v>705</v>
      </c>
      <c r="D18" s="148"/>
      <c r="E18" s="211">
        <v>1</v>
      </c>
      <c r="F18" s="211" t="s">
        <v>706</v>
      </c>
      <c r="G18" s="148" t="s">
        <v>707</v>
      </c>
      <c r="H18" s="343" t="s">
        <v>1448</v>
      </c>
      <c r="I18" s="214">
        <v>83903924</v>
      </c>
      <c r="J18" s="616" t="s">
        <v>364</v>
      </c>
      <c r="K18" s="707">
        <v>1.7</v>
      </c>
      <c r="L18" s="205"/>
      <c r="M18" s="207">
        <f>(7798-6832)+136</f>
        <v>1102</v>
      </c>
      <c r="N18" s="207">
        <f>(23591-21366)+676</f>
        <v>2901</v>
      </c>
      <c r="O18" s="99">
        <f>SUM(M18:N18)</f>
        <v>4003</v>
      </c>
      <c r="P18" s="205"/>
      <c r="Q18" s="207">
        <f>(7798-6832)+136</f>
        <v>1102</v>
      </c>
      <c r="R18" s="207">
        <f>(23591-21366)+676</f>
        <v>2901</v>
      </c>
      <c r="S18" s="99">
        <f>SUM(Q18:R18)</f>
        <v>4003</v>
      </c>
      <c r="T18" s="205"/>
      <c r="U18" s="207">
        <f>M18+Q18</f>
        <v>2204</v>
      </c>
      <c r="V18" s="207">
        <f>N18+R18</f>
        <v>5802</v>
      </c>
      <c r="W18" s="99">
        <f>SUM(U18:V18)</f>
        <v>8006</v>
      </c>
    </row>
    <row r="19" spans="1:23" ht="29.25" customHeight="1">
      <c r="A19" s="250" t="s">
        <v>7</v>
      </c>
      <c r="B19" s="211" t="s">
        <v>157</v>
      </c>
      <c r="C19" s="211" t="s">
        <v>705</v>
      </c>
      <c r="D19" s="148"/>
      <c r="E19" s="211">
        <v>2</v>
      </c>
      <c r="F19" s="211" t="s">
        <v>706</v>
      </c>
      <c r="G19" s="148" t="s">
        <v>707</v>
      </c>
      <c r="H19" s="343" t="s">
        <v>1449</v>
      </c>
      <c r="I19" s="214">
        <v>83903884</v>
      </c>
      <c r="J19" s="616" t="s">
        <v>364</v>
      </c>
      <c r="K19" s="707">
        <v>2.2</v>
      </c>
      <c r="L19" s="205"/>
      <c r="M19" s="207">
        <f>(4131-3551)+87</f>
        <v>667</v>
      </c>
      <c r="N19" s="207">
        <f>(12432-11093)+421</f>
        <v>1760</v>
      </c>
      <c r="O19" s="99">
        <f aca="true" t="shared" si="0" ref="O19:O76">SUM(M19:N19)</f>
        <v>2427</v>
      </c>
      <c r="P19" s="205"/>
      <c r="Q19" s="207">
        <f>(4131-3551)+87</f>
        <v>667</v>
      </c>
      <c r="R19" s="207">
        <f>(12432-11093)+421</f>
        <v>1760</v>
      </c>
      <c r="S19" s="99">
        <f aca="true" t="shared" si="1" ref="S19:S76">SUM(Q19:R19)</f>
        <v>2427</v>
      </c>
      <c r="T19" s="205"/>
      <c r="U19" s="207">
        <f aca="true" t="shared" si="2" ref="U19:U76">M19+Q19</f>
        <v>1334</v>
      </c>
      <c r="V19" s="207">
        <f aca="true" t="shared" si="3" ref="V19:V76">N19+R19</f>
        <v>3520</v>
      </c>
      <c r="W19" s="99">
        <f aca="true" t="shared" si="4" ref="W19:W76">SUM(U19:V19)</f>
        <v>4854</v>
      </c>
    </row>
    <row r="20" spans="1:23" ht="29.25" customHeight="1">
      <c r="A20" s="250" t="s">
        <v>7</v>
      </c>
      <c r="B20" s="211" t="s">
        <v>157</v>
      </c>
      <c r="C20" s="211" t="s">
        <v>1450</v>
      </c>
      <c r="D20" s="148"/>
      <c r="E20" s="211">
        <v>1</v>
      </c>
      <c r="F20" s="211" t="s">
        <v>706</v>
      </c>
      <c r="G20" s="148" t="s">
        <v>707</v>
      </c>
      <c r="H20" s="343" t="s">
        <v>1451</v>
      </c>
      <c r="I20" s="214">
        <v>93020833</v>
      </c>
      <c r="J20" s="616" t="s">
        <v>364</v>
      </c>
      <c r="K20" s="707">
        <v>6.6</v>
      </c>
      <c r="L20" s="205"/>
      <c r="M20" s="207">
        <f>(7001-6257)+142</f>
        <v>886</v>
      </c>
      <c r="N20" s="207">
        <f>(30034-27054)+759</f>
        <v>3739</v>
      </c>
      <c r="O20" s="99">
        <f t="shared" si="0"/>
        <v>4625</v>
      </c>
      <c r="P20" s="205"/>
      <c r="Q20" s="207">
        <f>(7001-6257)+142</f>
        <v>886</v>
      </c>
      <c r="R20" s="207">
        <f>(30034-27054)+759</f>
        <v>3739</v>
      </c>
      <c r="S20" s="99">
        <f t="shared" si="1"/>
        <v>4625</v>
      </c>
      <c r="T20" s="205"/>
      <c r="U20" s="207">
        <f t="shared" si="2"/>
        <v>1772</v>
      </c>
      <c r="V20" s="207">
        <f t="shared" si="3"/>
        <v>7478</v>
      </c>
      <c r="W20" s="99">
        <f t="shared" si="4"/>
        <v>9250</v>
      </c>
    </row>
    <row r="21" spans="1:23" ht="29.25" customHeight="1">
      <c r="A21" s="250" t="s">
        <v>7</v>
      </c>
      <c r="B21" s="211" t="s">
        <v>157</v>
      </c>
      <c r="C21" s="211" t="s">
        <v>1450</v>
      </c>
      <c r="D21" s="148"/>
      <c r="E21" s="211"/>
      <c r="F21" s="211" t="s">
        <v>706</v>
      </c>
      <c r="G21" s="148" t="s">
        <v>707</v>
      </c>
      <c r="H21" s="343" t="s">
        <v>1439</v>
      </c>
      <c r="I21" s="214">
        <v>3516161</v>
      </c>
      <c r="J21" s="616" t="s">
        <v>364</v>
      </c>
      <c r="K21" s="707">
        <v>6.6</v>
      </c>
      <c r="L21" s="205"/>
      <c r="M21" s="207">
        <f>10798-7924</f>
        <v>2874</v>
      </c>
      <c r="N21" s="207">
        <f>44384-36416</f>
        <v>7968</v>
      </c>
      <c r="O21" s="99">
        <f t="shared" si="0"/>
        <v>10842</v>
      </c>
      <c r="P21" s="205"/>
      <c r="Q21" s="207">
        <f>10798-7924</f>
        <v>2874</v>
      </c>
      <c r="R21" s="207">
        <f>44384-36416</f>
        <v>7968</v>
      </c>
      <c r="S21" s="99">
        <f t="shared" si="1"/>
        <v>10842</v>
      </c>
      <c r="T21" s="205"/>
      <c r="U21" s="207">
        <f t="shared" si="2"/>
        <v>5748</v>
      </c>
      <c r="V21" s="207">
        <f t="shared" si="3"/>
        <v>15936</v>
      </c>
      <c r="W21" s="99">
        <f t="shared" si="4"/>
        <v>21684</v>
      </c>
    </row>
    <row r="22" spans="1:23" ht="29.25" customHeight="1">
      <c r="A22" s="250" t="s">
        <v>7</v>
      </c>
      <c r="B22" s="211" t="s">
        <v>157</v>
      </c>
      <c r="C22" s="211" t="s">
        <v>1438</v>
      </c>
      <c r="D22" s="148"/>
      <c r="E22" s="211">
        <v>180</v>
      </c>
      <c r="F22" s="211" t="s">
        <v>706</v>
      </c>
      <c r="G22" s="148" t="s">
        <v>707</v>
      </c>
      <c r="H22" s="343" t="s">
        <v>1440</v>
      </c>
      <c r="I22" s="214">
        <v>4138249</v>
      </c>
      <c r="J22" s="616" t="s">
        <v>364</v>
      </c>
      <c r="K22" s="707">
        <v>6.6</v>
      </c>
      <c r="L22" s="205"/>
      <c r="M22" s="207">
        <f>2271-1502</f>
        <v>769</v>
      </c>
      <c r="N22" s="207">
        <f>8099-6155</f>
        <v>1944</v>
      </c>
      <c r="O22" s="99">
        <f t="shared" si="0"/>
        <v>2713</v>
      </c>
      <c r="P22" s="205"/>
      <c r="Q22" s="207">
        <f>2271-1502</f>
        <v>769</v>
      </c>
      <c r="R22" s="207">
        <f>8099-6155</f>
        <v>1944</v>
      </c>
      <c r="S22" s="99">
        <f t="shared" si="1"/>
        <v>2713</v>
      </c>
      <c r="T22" s="205"/>
      <c r="U22" s="207">
        <f t="shared" si="2"/>
        <v>1538</v>
      </c>
      <c r="V22" s="207">
        <f t="shared" si="3"/>
        <v>3888</v>
      </c>
      <c r="W22" s="99">
        <f t="shared" si="4"/>
        <v>5426</v>
      </c>
    </row>
    <row r="23" spans="1:23" ht="29.25" customHeight="1">
      <c r="A23" s="250" t="s">
        <v>7</v>
      </c>
      <c r="B23" s="211" t="s">
        <v>157</v>
      </c>
      <c r="C23" s="211" t="s">
        <v>1452</v>
      </c>
      <c r="D23" s="148"/>
      <c r="E23" s="211" t="s">
        <v>708</v>
      </c>
      <c r="F23" s="211" t="s">
        <v>706</v>
      </c>
      <c r="G23" s="148" t="s">
        <v>707</v>
      </c>
      <c r="H23" s="343" t="s">
        <v>1453</v>
      </c>
      <c r="I23" s="214">
        <v>93509802</v>
      </c>
      <c r="J23" s="616" t="s">
        <v>364</v>
      </c>
      <c r="K23" s="707">
        <v>6.6</v>
      </c>
      <c r="L23" s="205"/>
      <c r="M23" s="207">
        <f>(7927-6889)+3</f>
        <v>1041</v>
      </c>
      <c r="N23" s="207">
        <f>(33789-29477)+63</f>
        <v>4375</v>
      </c>
      <c r="O23" s="99">
        <f t="shared" si="0"/>
        <v>5416</v>
      </c>
      <c r="P23" s="205"/>
      <c r="Q23" s="207">
        <f>(7927-6889)+3</f>
        <v>1041</v>
      </c>
      <c r="R23" s="207">
        <f>(33789-29477)+63</f>
        <v>4375</v>
      </c>
      <c r="S23" s="99">
        <f t="shared" si="1"/>
        <v>5416</v>
      </c>
      <c r="T23" s="205"/>
      <c r="U23" s="207">
        <f t="shared" si="2"/>
        <v>2082</v>
      </c>
      <c r="V23" s="207">
        <f t="shared" si="3"/>
        <v>8750</v>
      </c>
      <c r="W23" s="99">
        <f t="shared" si="4"/>
        <v>10832</v>
      </c>
    </row>
    <row r="24" spans="1:23" ht="29.25" customHeight="1">
      <c r="A24" s="250" t="s">
        <v>7</v>
      </c>
      <c r="B24" s="211" t="s">
        <v>157</v>
      </c>
      <c r="C24" s="211" t="s">
        <v>1452</v>
      </c>
      <c r="D24" s="148"/>
      <c r="E24" s="211">
        <v>154</v>
      </c>
      <c r="F24" s="211" t="s">
        <v>706</v>
      </c>
      <c r="G24" s="148" t="s">
        <v>707</v>
      </c>
      <c r="H24" s="343" t="s">
        <v>1454</v>
      </c>
      <c r="I24" s="214">
        <v>93611456</v>
      </c>
      <c r="J24" s="616" t="s">
        <v>364</v>
      </c>
      <c r="K24" s="707">
        <v>2.5</v>
      </c>
      <c r="L24" s="205"/>
      <c r="M24" s="207">
        <f>(5645-5059)+129</f>
        <v>715</v>
      </c>
      <c r="N24" s="207">
        <f>(25271-22761)+700</f>
        <v>3210</v>
      </c>
      <c r="O24" s="99">
        <f t="shared" si="0"/>
        <v>3925</v>
      </c>
      <c r="P24" s="205"/>
      <c r="Q24" s="207">
        <f>(5645-5059)+129</f>
        <v>715</v>
      </c>
      <c r="R24" s="207">
        <f>(25271-22761)+700</f>
        <v>3210</v>
      </c>
      <c r="S24" s="99">
        <f t="shared" si="1"/>
        <v>3925</v>
      </c>
      <c r="T24" s="205"/>
      <c r="U24" s="207">
        <f t="shared" si="2"/>
        <v>1430</v>
      </c>
      <c r="V24" s="207">
        <f t="shared" si="3"/>
        <v>6420</v>
      </c>
      <c r="W24" s="99">
        <f t="shared" si="4"/>
        <v>7850</v>
      </c>
    </row>
    <row r="25" spans="1:23" ht="29.25" customHeight="1">
      <c r="A25" s="250" t="s">
        <v>7</v>
      </c>
      <c r="B25" s="211" t="s">
        <v>157</v>
      </c>
      <c r="C25" s="211" t="s">
        <v>709</v>
      </c>
      <c r="D25" s="148"/>
      <c r="E25" s="211"/>
      <c r="F25" s="211" t="s">
        <v>706</v>
      </c>
      <c r="G25" s="148" t="s">
        <v>707</v>
      </c>
      <c r="H25" s="343" t="s">
        <v>1455</v>
      </c>
      <c r="I25" s="214">
        <v>83904297</v>
      </c>
      <c r="J25" s="616" t="s">
        <v>364</v>
      </c>
      <c r="K25" s="707">
        <v>2.2</v>
      </c>
      <c r="L25" s="205"/>
      <c r="M25" s="207">
        <f>(4795-4266)+127</f>
        <v>656</v>
      </c>
      <c r="N25" s="207">
        <f>(20508-18320)+618</f>
        <v>2806</v>
      </c>
      <c r="O25" s="99">
        <f t="shared" si="0"/>
        <v>3462</v>
      </c>
      <c r="P25" s="205"/>
      <c r="Q25" s="207">
        <f>(4795-4266)+127</f>
        <v>656</v>
      </c>
      <c r="R25" s="207">
        <f>(20508-18320)+618</f>
        <v>2806</v>
      </c>
      <c r="S25" s="99">
        <f t="shared" si="1"/>
        <v>3462</v>
      </c>
      <c r="T25" s="205"/>
      <c r="U25" s="207">
        <f t="shared" si="2"/>
        <v>1312</v>
      </c>
      <c r="V25" s="207">
        <f t="shared" si="3"/>
        <v>5612</v>
      </c>
      <c r="W25" s="99">
        <f t="shared" si="4"/>
        <v>6924</v>
      </c>
    </row>
    <row r="26" spans="1:23" ht="29.25" customHeight="1">
      <c r="A26" s="250" t="s">
        <v>7</v>
      </c>
      <c r="B26" s="211" t="s">
        <v>157</v>
      </c>
      <c r="C26" s="211" t="s">
        <v>1443</v>
      </c>
      <c r="D26" s="148"/>
      <c r="E26" s="211"/>
      <c r="F26" s="211" t="s">
        <v>706</v>
      </c>
      <c r="G26" s="148" t="s">
        <v>707</v>
      </c>
      <c r="H26" s="343" t="s">
        <v>1456</v>
      </c>
      <c r="I26" s="214">
        <v>83908634</v>
      </c>
      <c r="J26" s="616" t="s">
        <v>364</v>
      </c>
      <c r="K26" s="707">
        <v>2.4</v>
      </c>
      <c r="L26" s="205"/>
      <c r="M26" s="207">
        <f>(6252-5392)+94</f>
        <v>954</v>
      </c>
      <c r="N26" s="207">
        <f>(19001-16952)+512</f>
        <v>2561</v>
      </c>
      <c r="O26" s="99">
        <f t="shared" si="0"/>
        <v>3515</v>
      </c>
      <c r="P26" s="205"/>
      <c r="Q26" s="207">
        <f>(6252-5392)+94</f>
        <v>954</v>
      </c>
      <c r="R26" s="207">
        <f>(19001-16952)+512</f>
        <v>2561</v>
      </c>
      <c r="S26" s="99">
        <f t="shared" si="1"/>
        <v>3515</v>
      </c>
      <c r="T26" s="205"/>
      <c r="U26" s="207">
        <f t="shared" si="2"/>
        <v>1908</v>
      </c>
      <c r="V26" s="207">
        <f t="shared" si="3"/>
        <v>5122</v>
      </c>
      <c r="W26" s="99">
        <f t="shared" si="4"/>
        <v>7030</v>
      </c>
    </row>
    <row r="27" spans="1:23" ht="29.25" customHeight="1">
      <c r="A27" s="250" t="s">
        <v>7</v>
      </c>
      <c r="B27" s="211" t="s">
        <v>157</v>
      </c>
      <c r="C27" s="211" t="s">
        <v>710</v>
      </c>
      <c r="D27" s="148"/>
      <c r="E27" s="211"/>
      <c r="F27" s="211" t="s">
        <v>706</v>
      </c>
      <c r="G27" s="148" t="s">
        <v>707</v>
      </c>
      <c r="H27" s="343" t="s">
        <v>1442</v>
      </c>
      <c r="I27" s="214">
        <v>83907818</v>
      </c>
      <c r="J27" s="616" t="s">
        <v>364</v>
      </c>
      <c r="K27" s="708">
        <v>2</v>
      </c>
      <c r="L27" s="205"/>
      <c r="M27" s="207">
        <f>(11242-9852)+326</f>
        <v>1716</v>
      </c>
      <c r="N27" s="207">
        <f>(48453-42596)+1593</f>
        <v>7450</v>
      </c>
      <c r="O27" s="99">
        <f t="shared" si="0"/>
        <v>9166</v>
      </c>
      <c r="P27" s="205"/>
      <c r="Q27" s="207">
        <f>(11242-9852)+326</f>
        <v>1716</v>
      </c>
      <c r="R27" s="207">
        <f>(48453-42596)+1593</f>
        <v>7450</v>
      </c>
      <c r="S27" s="99">
        <f t="shared" si="1"/>
        <v>9166</v>
      </c>
      <c r="T27" s="205"/>
      <c r="U27" s="207">
        <f t="shared" si="2"/>
        <v>3432</v>
      </c>
      <c r="V27" s="207">
        <f t="shared" si="3"/>
        <v>14900</v>
      </c>
      <c r="W27" s="99">
        <f t="shared" si="4"/>
        <v>18332</v>
      </c>
    </row>
    <row r="28" spans="1:23" ht="29.25" customHeight="1">
      <c r="A28" s="250" t="s">
        <v>7</v>
      </c>
      <c r="B28" s="211" t="s">
        <v>157</v>
      </c>
      <c r="C28" s="211" t="s">
        <v>1443</v>
      </c>
      <c r="D28" s="148"/>
      <c r="E28" s="211"/>
      <c r="F28" s="211" t="s">
        <v>706</v>
      </c>
      <c r="G28" s="148" t="s">
        <v>707</v>
      </c>
      <c r="H28" s="343" t="s">
        <v>1444</v>
      </c>
      <c r="I28" s="214">
        <v>83903922</v>
      </c>
      <c r="J28" s="616" t="s">
        <v>364</v>
      </c>
      <c r="K28" s="707">
        <v>1.1</v>
      </c>
      <c r="L28" s="205"/>
      <c r="M28" s="207">
        <f>(7042-6124)+224</f>
        <v>1142</v>
      </c>
      <c r="N28" s="207">
        <f>(30386-26518)+1044</f>
        <v>4912</v>
      </c>
      <c r="O28" s="99">
        <f t="shared" si="0"/>
        <v>6054</v>
      </c>
      <c r="P28" s="205"/>
      <c r="Q28" s="207">
        <f>(7042-6124)+224</f>
        <v>1142</v>
      </c>
      <c r="R28" s="207">
        <f>(30386-26518)+1044</f>
        <v>4912</v>
      </c>
      <c r="S28" s="99">
        <f t="shared" si="1"/>
        <v>6054</v>
      </c>
      <c r="T28" s="205"/>
      <c r="U28" s="207">
        <f t="shared" si="2"/>
        <v>2284</v>
      </c>
      <c r="V28" s="207">
        <f t="shared" si="3"/>
        <v>9824</v>
      </c>
      <c r="W28" s="99">
        <f t="shared" si="4"/>
        <v>12108</v>
      </c>
    </row>
    <row r="29" spans="1:23" ht="29.25" customHeight="1">
      <c r="A29" s="250" t="s">
        <v>7</v>
      </c>
      <c r="B29" s="211" t="s">
        <v>157</v>
      </c>
      <c r="C29" s="211" t="s">
        <v>711</v>
      </c>
      <c r="D29" s="148"/>
      <c r="E29" s="211"/>
      <c r="F29" s="211" t="s">
        <v>706</v>
      </c>
      <c r="G29" s="148" t="s">
        <v>707</v>
      </c>
      <c r="H29" s="343" t="s">
        <v>1445</v>
      </c>
      <c r="I29" s="214">
        <v>83903796</v>
      </c>
      <c r="J29" s="616" t="s">
        <v>364</v>
      </c>
      <c r="K29" s="707">
        <v>2.2</v>
      </c>
      <c r="L29" s="205"/>
      <c r="M29" s="207">
        <f>(3367-3003)+71</f>
        <v>435</v>
      </c>
      <c r="N29" s="207">
        <f>(14636-13182)+392</f>
        <v>1846</v>
      </c>
      <c r="O29" s="99">
        <f t="shared" si="0"/>
        <v>2281</v>
      </c>
      <c r="P29" s="205"/>
      <c r="Q29" s="207">
        <f>(3367-3003)+71</f>
        <v>435</v>
      </c>
      <c r="R29" s="207">
        <f>(14636-13182)+392</f>
        <v>1846</v>
      </c>
      <c r="S29" s="99">
        <f t="shared" si="1"/>
        <v>2281</v>
      </c>
      <c r="T29" s="205"/>
      <c r="U29" s="207">
        <f t="shared" si="2"/>
        <v>870</v>
      </c>
      <c r="V29" s="207">
        <f t="shared" si="3"/>
        <v>3692</v>
      </c>
      <c r="W29" s="99">
        <f t="shared" si="4"/>
        <v>4562</v>
      </c>
    </row>
    <row r="30" spans="1:23" ht="29.25" customHeight="1">
      <c r="A30" s="250" t="s">
        <v>7</v>
      </c>
      <c r="B30" s="211" t="s">
        <v>157</v>
      </c>
      <c r="C30" s="211" t="s">
        <v>711</v>
      </c>
      <c r="D30" s="148"/>
      <c r="E30" s="211">
        <v>1</v>
      </c>
      <c r="F30" s="211" t="s">
        <v>706</v>
      </c>
      <c r="G30" s="148" t="s">
        <v>707</v>
      </c>
      <c r="H30" s="343" t="s">
        <v>1446</v>
      </c>
      <c r="I30" s="214">
        <v>83903892</v>
      </c>
      <c r="J30" s="616" t="s">
        <v>364</v>
      </c>
      <c r="K30" s="707">
        <v>2.2</v>
      </c>
      <c r="L30" s="205"/>
      <c r="M30" s="207">
        <f>(7688-6848)+140</f>
        <v>980</v>
      </c>
      <c r="N30" s="207">
        <f>(32898-29539)+812</f>
        <v>4171</v>
      </c>
      <c r="O30" s="99">
        <f t="shared" si="0"/>
        <v>5151</v>
      </c>
      <c r="P30" s="205"/>
      <c r="Q30" s="207">
        <f>(7688-6848)+140</f>
        <v>980</v>
      </c>
      <c r="R30" s="207">
        <f>(32898-29539)+812</f>
        <v>4171</v>
      </c>
      <c r="S30" s="99">
        <f t="shared" si="1"/>
        <v>5151</v>
      </c>
      <c r="T30" s="205"/>
      <c r="U30" s="207">
        <f t="shared" si="2"/>
        <v>1960</v>
      </c>
      <c r="V30" s="207">
        <f t="shared" si="3"/>
        <v>8342</v>
      </c>
      <c r="W30" s="99">
        <f t="shared" si="4"/>
        <v>10302</v>
      </c>
    </row>
    <row r="31" spans="1:23" ht="29.25" customHeight="1">
      <c r="A31" s="250" t="s">
        <v>7</v>
      </c>
      <c r="B31" s="211" t="s">
        <v>157</v>
      </c>
      <c r="C31" s="211" t="s">
        <v>711</v>
      </c>
      <c r="D31" s="148"/>
      <c r="E31" s="211">
        <v>4</v>
      </c>
      <c r="F31" s="211" t="s">
        <v>706</v>
      </c>
      <c r="G31" s="148" t="s">
        <v>707</v>
      </c>
      <c r="H31" s="343" t="s">
        <v>1447</v>
      </c>
      <c r="I31" s="214">
        <v>83903899</v>
      </c>
      <c r="J31" s="616" t="s">
        <v>364</v>
      </c>
      <c r="K31" s="707">
        <v>2.2</v>
      </c>
      <c r="L31" s="205"/>
      <c r="M31" s="207">
        <f>(7588-6736)+158</f>
        <v>1010</v>
      </c>
      <c r="N31" s="207">
        <f>(33438-29910)+922</f>
        <v>4450</v>
      </c>
      <c r="O31" s="99">
        <f t="shared" si="0"/>
        <v>5460</v>
      </c>
      <c r="P31" s="205"/>
      <c r="Q31" s="207">
        <f>(7588-6736)+158</f>
        <v>1010</v>
      </c>
      <c r="R31" s="207">
        <f>(33438-29910)+922</f>
        <v>4450</v>
      </c>
      <c r="S31" s="99">
        <f t="shared" si="1"/>
        <v>5460</v>
      </c>
      <c r="T31" s="205"/>
      <c r="U31" s="207">
        <f t="shared" si="2"/>
        <v>2020</v>
      </c>
      <c r="V31" s="207">
        <f t="shared" si="3"/>
        <v>8900</v>
      </c>
      <c r="W31" s="99">
        <f t="shared" si="4"/>
        <v>10920</v>
      </c>
    </row>
    <row r="32" spans="1:23" ht="29.25" customHeight="1">
      <c r="A32" s="250" t="s">
        <v>7</v>
      </c>
      <c r="B32" s="211" t="s">
        <v>157</v>
      </c>
      <c r="C32" s="211" t="s">
        <v>711</v>
      </c>
      <c r="D32" s="148"/>
      <c r="E32" s="211">
        <v>3</v>
      </c>
      <c r="F32" s="211" t="s">
        <v>706</v>
      </c>
      <c r="G32" s="148" t="s">
        <v>707</v>
      </c>
      <c r="H32" s="343" t="s">
        <v>1458</v>
      </c>
      <c r="I32" s="214">
        <v>83903894</v>
      </c>
      <c r="J32" s="616" t="s">
        <v>364</v>
      </c>
      <c r="K32" s="707">
        <v>2.2</v>
      </c>
      <c r="L32" s="205"/>
      <c r="M32" s="207">
        <f>(3788-3381)+73</f>
        <v>480</v>
      </c>
      <c r="N32" s="207">
        <f>(16258-14608)+413</f>
        <v>2063</v>
      </c>
      <c r="O32" s="99">
        <f t="shared" si="0"/>
        <v>2543</v>
      </c>
      <c r="P32" s="205"/>
      <c r="Q32" s="207">
        <f>(3788-3381)+73</f>
        <v>480</v>
      </c>
      <c r="R32" s="207">
        <f>(16258-14608)+413</f>
        <v>2063</v>
      </c>
      <c r="S32" s="99">
        <f t="shared" si="1"/>
        <v>2543</v>
      </c>
      <c r="T32" s="205"/>
      <c r="U32" s="207">
        <f t="shared" si="2"/>
        <v>960</v>
      </c>
      <c r="V32" s="207">
        <f t="shared" si="3"/>
        <v>4126</v>
      </c>
      <c r="W32" s="99">
        <f t="shared" si="4"/>
        <v>5086</v>
      </c>
    </row>
    <row r="33" spans="1:23" ht="29.25" customHeight="1">
      <c r="A33" s="250" t="s">
        <v>7</v>
      </c>
      <c r="B33" s="211" t="s">
        <v>157</v>
      </c>
      <c r="C33" s="211" t="s">
        <v>712</v>
      </c>
      <c r="D33" s="148"/>
      <c r="E33" s="211"/>
      <c r="F33" s="211" t="s">
        <v>706</v>
      </c>
      <c r="G33" s="148" t="s">
        <v>707</v>
      </c>
      <c r="H33" s="343" t="s">
        <v>1459</v>
      </c>
      <c r="I33" s="214">
        <v>83904494</v>
      </c>
      <c r="J33" s="616" t="s">
        <v>364</v>
      </c>
      <c r="K33" s="707">
        <v>2.2</v>
      </c>
      <c r="L33" s="205"/>
      <c r="M33" s="207">
        <f>(5507-5173)+179</f>
        <v>513</v>
      </c>
      <c r="N33" s="207">
        <f>(24722-23458)+878</f>
        <v>2142</v>
      </c>
      <c r="O33" s="99">
        <f t="shared" si="0"/>
        <v>2655</v>
      </c>
      <c r="P33" s="205"/>
      <c r="Q33" s="207">
        <f>(5507-5173)+179</f>
        <v>513</v>
      </c>
      <c r="R33" s="207">
        <f>(24722-23458)+878</f>
        <v>2142</v>
      </c>
      <c r="S33" s="99">
        <f t="shared" si="1"/>
        <v>2655</v>
      </c>
      <c r="T33" s="205"/>
      <c r="U33" s="207">
        <f t="shared" si="2"/>
        <v>1026</v>
      </c>
      <c r="V33" s="207">
        <f t="shared" si="3"/>
        <v>4284</v>
      </c>
      <c r="W33" s="99">
        <f t="shared" si="4"/>
        <v>5310</v>
      </c>
    </row>
    <row r="34" spans="1:23" ht="29.25" customHeight="1">
      <c r="A34" s="250" t="s">
        <v>7</v>
      </c>
      <c r="B34" s="211" t="s">
        <v>157</v>
      </c>
      <c r="C34" s="211" t="s">
        <v>713</v>
      </c>
      <c r="D34" s="148"/>
      <c r="E34" s="211"/>
      <c r="F34" s="211" t="s">
        <v>706</v>
      </c>
      <c r="G34" s="148" t="s">
        <v>707</v>
      </c>
      <c r="H34" s="343" t="s">
        <v>1460</v>
      </c>
      <c r="I34" s="214">
        <v>83558274</v>
      </c>
      <c r="J34" s="616" t="s">
        <v>364</v>
      </c>
      <c r="K34" s="707">
        <v>2.2</v>
      </c>
      <c r="L34" s="205"/>
      <c r="M34" s="207">
        <f>(7272-6551)+245</f>
        <v>966</v>
      </c>
      <c r="N34" s="207">
        <f>(31252-28246)+1096</f>
        <v>4102</v>
      </c>
      <c r="O34" s="99">
        <f t="shared" si="0"/>
        <v>5068</v>
      </c>
      <c r="P34" s="205"/>
      <c r="Q34" s="207">
        <f>(7272-6551)+245</f>
        <v>966</v>
      </c>
      <c r="R34" s="207">
        <f>(31252-28246)+1096</f>
        <v>4102</v>
      </c>
      <c r="S34" s="99">
        <f t="shared" si="1"/>
        <v>5068</v>
      </c>
      <c r="T34" s="205"/>
      <c r="U34" s="207">
        <f t="shared" si="2"/>
        <v>1932</v>
      </c>
      <c r="V34" s="207">
        <f t="shared" si="3"/>
        <v>8204</v>
      </c>
      <c r="W34" s="99">
        <f t="shared" si="4"/>
        <v>10136</v>
      </c>
    </row>
    <row r="35" spans="1:23" ht="29.25" customHeight="1">
      <c r="A35" s="250" t="s">
        <v>7</v>
      </c>
      <c r="B35" s="211" t="s">
        <v>157</v>
      </c>
      <c r="C35" s="211" t="s">
        <v>714</v>
      </c>
      <c r="D35" s="148"/>
      <c r="E35" s="211">
        <v>207</v>
      </c>
      <c r="F35" s="211" t="s">
        <v>706</v>
      </c>
      <c r="G35" s="148" t="s">
        <v>707</v>
      </c>
      <c r="H35" s="343" t="s">
        <v>1461</v>
      </c>
      <c r="I35" s="214">
        <v>83907997</v>
      </c>
      <c r="J35" s="616" t="s">
        <v>364</v>
      </c>
      <c r="K35" s="707">
        <v>2.2</v>
      </c>
      <c r="L35" s="205"/>
      <c r="M35" s="207">
        <f>(6274-5476)+95</f>
        <v>893</v>
      </c>
      <c r="N35" s="207">
        <f>(19440-17517)+225</f>
        <v>2148</v>
      </c>
      <c r="O35" s="99">
        <f t="shared" si="0"/>
        <v>3041</v>
      </c>
      <c r="P35" s="205"/>
      <c r="Q35" s="207">
        <f>(6274-5476)+95</f>
        <v>893</v>
      </c>
      <c r="R35" s="207">
        <f>(19440-17517)+225</f>
        <v>2148</v>
      </c>
      <c r="S35" s="99">
        <f t="shared" si="1"/>
        <v>3041</v>
      </c>
      <c r="T35" s="205"/>
      <c r="U35" s="207">
        <f t="shared" si="2"/>
        <v>1786</v>
      </c>
      <c r="V35" s="207">
        <f t="shared" si="3"/>
        <v>4296</v>
      </c>
      <c r="W35" s="99">
        <f t="shared" si="4"/>
        <v>6082</v>
      </c>
    </row>
    <row r="36" spans="1:23" ht="29.25" customHeight="1">
      <c r="A36" s="250" t="s">
        <v>7</v>
      </c>
      <c r="B36" s="211" t="s">
        <v>157</v>
      </c>
      <c r="C36" s="211" t="s">
        <v>715</v>
      </c>
      <c r="D36" s="148"/>
      <c r="E36" s="211"/>
      <c r="F36" s="211" t="s">
        <v>706</v>
      </c>
      <c r="G36" s="148" t="s">
        <v>707</v>
      </c>
      <c r="H36" s="343" t="s">
        <v>1462</v>
      </c>
      <c r="I36" s="214">
        <v>83558199</v>
      </c>
      <c r="J36" s="616" t="s">
        <v>364</v>
      </c>
      <c r="K36" s="707">
        <v>2.2</v>
      </c>
      <c r="L36" s="205"/>
      <c r="M36" s="207">
        <f>(7478-6608)+167</f>
        <v>1037</v>
      </c>
      <c r="N36" s="207">
        <f>(22656-20652)+761</f>
        <v>2765</v>
      </c>
      <c r="O36" s="99">
        <f t="shared" si="0"/>
        <v>3802</v>
      </c>
      <c r="P36" s="205"/>
      <c r="Q36" s="207">
        <f>(7478-6608)+167</f>
        <v>1037</v>
      </c>
      <c r="R36" s="207">
        <f>(22656-20652)+761</f>
        <v>2765</v>
      </c>
      <c r="S36" s="99">
        <f t="shared" si="1"/>
        <v>3802</v>
      </c>
      <c r="T36" s="205"/>
      <c r="U36" s="207">
        <f t="shared" si="2"/>
        <v>2074</v>
      </c>
      <c r="V36" s="207">
        <f t="shared" si="3"/>
        <v>5530</v>
      </c>
      <c r="W36" s="99">
        <f t="shared" si="4"/>
        <v>7604</v>
      </c>
    </row>
    <row r="37" spans="1:23" ht="29.25" customHeight="1">
      <c r="A37" s="250" t="s">
        <v>7</v>
      </c>
      <c r="B37" s="211" t="s">
        <v>157</v>
      </c>
      <c r="C37" s="211" t="s">
        <v>716</v>
      </c>
      <c r="D37" s="148"/>
      <c r="E37" s="211"/>
      <c r="F37" s="211" t="s">
        <v>706</v>
      </c>
      <c r="G37" s="148" t="s">
        <v>707</v>
      </c>
      <c r="H37" s="343" t="s">
        <v>1463</v>
      </c>
      <c r="I37" s="214">
        <v>83558070</v>
      </c>
      <c r="J37" s="616" t="s">
        <v>364</v>
      </c>
      <c r="K37" s="707">
        <v>2.2</v>
      </c>
      <c r="L37" s="205"/>
      <c r="M37" s="207">
        <f>(8189-7156)+186</f>
        <v>1219</v>
      </c>
      <c r="N37" s="207">
        <f>(25293-22708)+942</f>
        <v>3527</v>
      </c>
      <c r="O37" s="99">
        <f t="shared" si="0"/>
        <v>4746</v>
      </c>
      <c r="P37" s="205"/>
      <c r="Q37" s="207">
        <f>(8189-7156)+186</f>
        <v>1219</v>
      </c>
      <c r="R37" s="207">
        <f>(25293-22708)+942</f>
        <v>3527</v>
      </c>
      <c r="S37" s="99">
        <f t="shared" si="1"/>
        <v>4746</v>
      </c>
      <c r="T37" s="205"/>
      <c r="U37" s="207">
        <f t="shared" si="2"/>
        <v>2438</v>
      </c>
      <c r="V37" s="207">
        <f t="shared" si="3"/>
        <v>7054</v>
      </c>
      <c r="W37" s="99">
        <f t="shared" si="4"/>
        <v>9492</v>
      </c>
    </row>
    <row r="38" spans="1:23" ht="29.25" customHeight="1">
      <c r="A38" s="250" t="s">
        <v>7</v>
      </c>
      <c r="B38" s="211" t="s">
        <v>157</v>
      </c>
      <c r="C38" s="211" t="s">
        <v>717</v>
      </c>
      <c r="D38" s="148"/>
      <c r="E38" s="211"/>
      <c r="F38" s="211" t="s">
        <v>706</v>
      </c>
      <c r="G38" s="148" t="s">
        <v>707</v>
      </c>
      <c r="H38" s="343" t="s">
        <v>1464</v>
      </c>
      <c r="I38" s="214">
        <v>93510306</v>
      </c>
      <c r="J38" s="616" t="s">
        <v>364</v>
      </c>
      <c r="K38" s="707">
        <v>6.6</v>
      </c>
      <c r="L38" s="205"/>
      <c r="M38" s="207">
        <f>4965-4207</f>
        <v>758</v>
      </c>
      <c r="N38" s="207">
        <f>23572-20124</f>
        <v>3448</v>
      </c>
      <c r="O38" s="99">
        <f t="shared" si="0"/>
        <v>4206</v>
      </c>
      <c r="P38" s="205"/>
      <c r="Q38" s="207">
        <f>4965-4207</f>
        <v>758</v>
      </c>
      <c r="R38" s="207">
        <f>23572-20124</f>
        <v>3448</v>
      </c>
      <c r="S38" s="99">
        <f t="shared" si="1"/>
        <v>4206</v>
      </c>
      <c r="T38" s="205"/>
      <c r="U38" s="207">
        <f t="shared" si="2"/>
        <v>1516</v>
      </c>
      <c r="V38" s="207">
        <f t="shared" si="3"/>
        <v>6896</v>
      </c>
      <c r="W38" s="99">
        <f t="shared" si="4"/>
        <v>8412</v>
      </c>
    </row>
    <row r="39" spans="1:23" ht="29.25" customHeight="1">
      <c r="A39" s="250" t="s">
        <v>7</v>
      </c>
      <c r="B39" s="211" t="s">
        <v>157</v>
      </c>
      <c r="C39" s="209" t="s">
        <v>707</v>
      </c>
      <c r="D39" s="211" t="s">
        <v>1465</v>
      </c>
      <c r="E39" s="211"/>
      <c r="F39" s="211" t="s">
        <v>706</v>
      </c>
      <c r="G39" s="148" t="s">
        <v>707</v>
      </c>
      <c r="H39" s="343" t="s">
        <v>1466</v>
      </c>
      <c r="I39" s="214">
        <v>83903918</v>
      </c>
      <c r="J39" s="616" t="s">
        <v>364</v>
      </c>
      <c r="K39" s="708">
        <v>3</v>
      </c>
      <c r="L39" s="205"/>
      <c r="M39" s="207">
        <f>(14229-12555)+278</f>
        <v>1952</v>
      </c>
      <c r="N39" s="207">
        <f>(44076-40039)+1423</f>
        <v>5460</v>
      </c>
      <c r="O39" s="99">
        <f t="shared" si="0"/>
        <v>7412</v>
      </c>
      <c r="P39" s="205"/>
      <c r="Q39" s="207">
        <f>(14229-12555)+278</f>
        <v>1952</v>
      </c>
      <c r="R39" s="207">
        <f>(44076-40039)+1423</f>
        <v>5460</v>
      </c>
      <c r="S39" s="99">
        <f t="shared" si="1"/>
        <v>7412</v>
      </c>
      <c r="T39" s="205"/>
      <c r="U39" s="207">
        <f t="shared" si="2"/>
        <v>3904</v>
      </c>
      <c r="V39" s="207">
        <f t="shared" si="3"/>
        <v>10920</v>
      </c>
      <c r="W39" s="99">
        <f t="shared" si="4"/>
        <v>14824</v>
      </c>
    </row>
    <row r="40" spans="1:23" ht="29.25" customHeight="1">
      <c r="A40" s="250" t="s">
        <v>7</v>
      </c>
      <c r="B40" s="211" t="s">
        <v>157</v>
      </c>
      <c r="C40" s="209" t="s">
        <v>707</v>
      </c>
      <c r="D40" s="211" t="s">
        <v>1467</v>
      </c>
      <c r="E40" s="211"/>
      <c r="F40" s="211" t="s">
        <v>706</v>
      </c>
      <c r="G40" s="148" t="s">
        <v>707</v>
      </c>
      <c r="H40" s="343" t="s">
        <v>1468</v>
      </c>
      <c r="I40" s="214">
        <v>93020827</v>
      </c>
      <c r="J40" s="616" t="s">
        <v>364</v>
      </c>
      <c r="K40" s="707">
        <v>2.7</v>
      </c>
      <c r="L40" s="205"/>
      <c r="M40" s="207">
        <f>(40441-35826)+883</f>
        <v>5498</v>
      </c>
      <c r="N40" s="207">
        <f>(170115-151319)+5001</f>
        <v>23797</v>
      </c>
      <c r="O40" s="99">
        <f t="shared" si="0"/>
        <v>29295</v>
      </c>
      <c r="P40" s="205"/>
      <c r="Q40" s="207">
        <f>(40441-35826)+883</f>
        <v>5498</v>
      </c>
      <c r="R40" s="207">
        <f>(170115-151319)+5001</f>
        <v>23797</v>
      </c>
      <c r="S40" s="99">
        <f t="shared" si="1"/>
        <v>29295</v>
      </c>
      <c r="T40" s="205"/>
      <c r="U40" s="207">
        <f t="shared" si="2"/>
        <v>10996</v>
      </c>
      <c r="V40" s="207">
        <f t="shared" si="3"/>
        <v>47594</v>
      </c>
      <c r="W40" s="99">
        <f t="shared" si="4"/>
        <v>58590</v>
      </c>
    </row>
    <row r="41" spans="1:23" ht="29.25" customHeight="1">
      <c r="A41" s="250" t="s">
        <v>7</v>
      </c>
      <c r="B41" s="211" t="s">
        <v>157</v>
      </c>
      <c r="C41" s="209" t="s">
        <v>707</v>
      </c>
      <c r="D41" s="211" t="s">
        <v>1469</v>
      </c>
      <c r="E41" s="211"/>
      <c r="F41" s="211" t="s">
        <v>706</v>
      </c>
      <c r="G41" s="148" t="s">
        <v>707</v>
      </c>
      <c r="H41" s="343" t="s">
        <v>1470</v>
      </c>
      <c r="I41" s="214">
        <v>93175315</v>
      </c>
      <c r="J41" s="616" t="s">
        <v>364</v>
      </c>
      <c r="K41" s="707">
        <v>6.6</v>
      </c>
      <c r="L41" s="205"/>
      <c r="M41" s="207">
        <f>38553-32499</f>
        <v>6054</v>
      </c>
      <c r="N41" s="207">
        <f>160250-136554</f>
        <v>23696</v>
      </c>
      <c r="O41" s="99">
        <f t="shared" si="0"/>
        <v>29750</v>
      </c>
      <c r="P41" s="205"/>
      <c r="Q41" s="207">
        <f>38553-32499</f>
        <v>6054</v>
      </c>
      <c r="R41" s="207">
        <f>160250-136554</f>
        <v>23696</v>
      </c>
      <c r="S41" s="99">
        <f t="shared" si="1"/>
        <v>29750</v>
      </c>
      <c r="T41" s="205"/>
      <c r="U41" s="207">
        <f t="shared" si="2"/>
        <v>12108</v>
      </c>
      <c r="V41" s="207">
        <f t="shared" si="3"/>
        <v>47392</v>
      </c>
      <c r="W41" s="99">
        <f t="shared" si="4"/>
        <v>59500</v>
      </c>
    </row>
    <row r="42" spans="1:23" ht="29.25" customHeight="1">
      <c r="A42" s="250" t="s">
        <v>7</v>
      </c>
      <c r="B42" s="211" t="s">
        <v>157</v>
      </c>
      <c r="C42" s="209" t="s">
        <v>707</v>
      </c>
      <c r="D42" s="211" t="s">
        <v>1471</v>
      </c>
      <c r="E42" s="211"/>
      <c r="F42" s="211" t="s">
        <v>706</v>
      </c>
      <c r="G42" s="148" t="s">
        <v>707</v>
      </c>
      <c r="H42" s="343" t="s">
        <v>1472</v>
      </c>
      <c r="I42" s="214">
        <v>83903213</v>
      </c>
      <c r="J42" s="616" t="s">
        <v>364</v>
      </c>
      <c r="K42" s="707">
        <v>2.2</v>
      </c>
      <c r="L42" s="205"/>
      <c r="M42" s="207">
        <f>(7554-6492)+191</f>
        <v>1253</v>
      </c>
      <c r="N42" s="207">
        <f>(23041-20391)+907</f>
        <v>3557</v>
      </c>
      <c r="O42" s="99">
        <f t="shared" si="0"/>
        <v>4810</v>
      </c>
      <c r="P42" s="205"/>
      <c r="Q42" s="207">
        <f>(7554-6492)+191</f>
        <v>1253</v>
      </c>
      <c r="R42" s="207">
        <f>(23041-20391)+907</f>
        <v>3557</v>
      </c>
      <c r="S42" s="99">
        <f t="shared" si="1"/>
        <v>4810</v>
      </c>
      <c r="T42" s="205"/>
      <c r="U42" s="207">
        <f t="shared" si="2"/>
        <v>2506</v>
      </c>
      <c r="V42" s="207">
        <f t="shared" si="3"/>
        <v>7114</v>
      </c>
      <c r="W42" s="99">
        <f t="shared" si="4"/>
        <v>9620</v>
      </c>
    </row>
    <row r="43" spans="1:23" ht="29.25" customHeight="1">
      <c r="A43" s="250" t="s">
        <v>7</v>
      </c>
      <c r="B43" s="211" t="s">
        <v>157</v>
      </c>
      <c r="C43" s="209" t="s">
        <v>707</v>
      </c>
      <c r="D43" s="211" t="s">
        <v>164</v>
      </c>
      <c r="E43" s="211"/>
      <c r="F43" s="211" t="s">
        <v>706</v>
      </c>
      <c r="G43" s="148" t="s">
        <v>707</v>
      </c>
      <c r="H43" s="343" t="s">
        <v>1473</v>
      </c>
      <c r="I43" s="214">
        <v>83904482</v>
      </c>
      <c r="J43" s="616" t="s">
        <v>364</v>
      </c>
      <c r="K43" s="707">
        <v>1.1</v>
      </c>
      <c r="L43" s="205"/>
      <c r="M43" s="207">
        <f>(5397-4796)+142</f>
        <v>743</v>
      </c>
      <c r="N43" s="207">
        <f>(23348-20840)+821</f>
        <v>3329</v>
      </c>
      <c r="O43" s="99">
        <f t="shared" si="0"/>
        <v>4072</v>
      </c>
      <c r="P43" s="205"/>
      <c r="Q43" s="207">
        <f>(5397-4796)+142</f>
        <v>743</v>
      </c>
      <c r="R43" s="207">
        <f>(23348-20840)+821</f>
        <v>3329</v>
      </c>
      <c r="S43" s="99">
        <f t="shared" si="1"/>
        <v>4072</v>
      </c>
      <c r="T43" s="205"/>
      <c r="U43" s="207">
        <f t="shared" si="2"/>
        <v>1486</v>
      </c>
      <c r="V43" s="207">
        <f t="shared" si="3"/>
        <v>6658</v>
      </c>
      <c r="W43" s="99">
        <f t="shared" si="4"/>
        <v>8144</v>
      </c>
    </row>
    <row r="44" spans="1:23" ht="29.25" customHeight="1">
      <c r="A44" s="250" t="s">
        <v>7</v>
      </c>
      <c r="B44" s="211" t="s">
        <v>157</v>
      </c>
      <c r="C44" s="209" t="s">
        <v>707</v>
      </c>
      <c r="D44" s="211" t="s">
        <v>1474</v>
      </c>
      <c r="E44" s="211"/>
      <c r="F44" s="211" t="s">
        <v>706</v>
      </c>
      <c r="G44" s="148" t="s">
        <v>707</v>
      </c>
      <c r="H44" s="343" t="s">
        <v>1475</v>
      </c>
      <c r="I44" s="214">
        <v>83904468</v>
      </c>
      <c r="J44" s="616" t="s">
        <v>364</v>
      </c>
      <c r="K44" s="708">
        <v>4</v>
      </c>
      <c r="L44" s="205"/>
      <c r="M44" s="207">
        <f>(38176-33385)+763</f>
        <v>5554</v>
      </c>
      <c r="N44" s="207">
        <f>(112331-101193)+3706</f>
        <v>14844</v>
      </c>
      <c r="O44" s="99">
        <f t="shared" si="0"/>
        <v>20398</v>
      </c>
      <c r="P44" s="205"/>
      <c r="Q44" s="207">
        <f>(38176-33385)+763</f>
        <v>5554</v>
      </c>
      <c r="R44" s="207">
        <f>(112331-101193)+3706</f>
        <v>14844</v>
      </c>
      <c r="S44" s="99">
        <f t="shared" si="1"/>
        <v>20398</v>
      </c>
      <c r="T44" s="205"/>
      <c r="U44" s="207">
        <f t="shared" si="2"/>
        <v>11108</v>
      </c>
      <c r="V44" s="207">
        <f t="shared" si="3"/>
        <v>29688</v>
      </c>
      <c r="W44" s="99">
        <f t="shared" si="4"/>
        <v>40796</v>
      </c>
    </row>
    <row r="45" spans="1:23" ht="29.25" customHeight="1">
      <c r="A45" s="250" t="s">
        <v>7</v>
      </c>
      <c r="B45" s="211" t="s">
        <v>157</v>
      </c>
      <c r="C45" s="209" t="s">
        <v>707</v>
      </c>
      <c r="D45" s="211" t="s">
        <v>718</v>
      </c>
      <c r="E45" s="211"/>
      <c r="F45" s="211" t="s">
        <v>706</v>
      </c>
      <c r="G45" s="148" t="s">
        <v>707</v>
      </c>
      <c r="H45" s="343" t="s">
        <v>1476</v>
      </c>
      <c r="I45" s="214">
        <v>83908067</v>
      </c>
      <c r="J45" s="616" t="s">
        <v>364</v>
      </c>
      <c r="K45" s="707">
        <v>0.2</v>
      </c>
      <c r="L45" s="205"/>
      <c r="M45" s="207">
        <f>(9272-8134)+190</f>
        <v>1328</v>
      </c>
      <c r="N45" s="207">
        <f>(29475-26538)+919</f>
        <v>3856</v>
      </c>
      <c r="O45" s="99">
        <f t="shared" si="0"/>
        <v>5184</v>
      </c>
      <c r="P45" s="205"/>
      <c r="Q45" s="207">
        <f>(9272-8134)+190</f>
        <v>1328</v>
      </c>
      <c r="R45" s="207">
        <f>(29475-26538)+919</f>
        <v>3856</v>
      </c>
      <c r="S45" s="99">
        <f t="shared" si="1"/>
        <v>5184</v>
      </c>
      <c r="T45" s="205"/>
      <c r="U45" s="207">
        <f t="shared" si="2"/>
        <v>2656</v>
      </c>
      <c r="V45" s="207">
        <f t="shared" si="3"/>
        <v>7712</v>
      </c>
      <c r="W45" s="99">
        <f t="shared" si="4"/>
        <v>10368</v>
      </c>
    </row>
    <row r="46" spans="1:23" ht="29.25" customHeight="1">
      <c r="A46" s="250" t="s">
        <v>7</v>
      </c>
      <c r="B46" s="211" t="s">
        <v>157</v>
      </c>
      <c r="C46" s="209" t="s">
        <v>707</v>
      </c>
      <c r="D46" s="211" t="s">
        <v>89</v>
      </c>
      <c r="E46" s="211"/>
      <c r="F46" s="211" t="s">
        <v>706</v>
      </c>
      <c r="G46" s="148" t="s">
        <v>707</v>
      </c>
      <c r="H46" s="343" t="s">
        <v>1477</v>
      </c>
      <c r="I46" s="214">
        <v>83903896</v>
      </c>
      <c r="J46" s="616" t="s">
        <v>364</v>
      </c>
      <c r="K46" s="707">
        <v>2.2</v>
      </c>
      <c r="L46" s="205"/>
      <c r="M46" s="207">
        <f>(8976-8110)+154</f>
        <v>1020</v>
      </c>
      <c r="N46" s="207">
        <f>(38208-34614)+781</f>
        <v>4375</v>
      </c>
      <c r="O46" s="99">
        <f t="shared" si="0"/>
        <v>5395</v>
      </c>
      <c r="P46" s="205"/>
      <c r="Q46" s="207">
        <f>(8976-8110)+154</f>
        <v>1020</v>
      </c>
      <c r="R46" s="207">
        <f>(38208-34614)+781</f>
        <v>4375</v>
      </c>
      <c r="S46" s="99">
        <f t="shared" si="1"/>
        <v>5395</v>
      </c>
      <c r="T46" s="205"/>
      <c r="U46" s="207">
        <f t="shared" si="2"/>
        <v>2040</v>
      </c>
      <c r="V46" s="207">
        <f t="shared" si="3"/>
        <v>8750</v>
      </c>
      <c r="W46" s="99">
        <f t="shared" si="4"/>
        <v>10790</v>
      </c>
    </row>
    <row r="47" spans="1:23" ht="29.25" customHeight="1">
      <c r="A47" s="250" t="s">
        <v>7</v>
      </c>
      <c r="B47" s="211" t="s">
        <v>157</v>
      </c>
      <c r="C47" s="211" t="s">
        <v>719</v>
      </c>
      <c r="D47" s="148"/>
      <c r="E47" s="211"/>
      <c r="F47" s="211" t="s">
        <v>706</v>
      </c>
      <c r="G47" s="148" t="s">
        <v>707</v>
      </c>
      <c r="H47" s="343" t="s">
        <v>1479</v>
      </c>
      <c r="I47" s="214">
        <v>89083696</v>
      </c>
      <c r="J47" s="616" t="s">
        <v>364</v>
      </c>
      <c r="K47" s="707">
        <v>0.6</v>
      </c>
      <c r="L47" s="205"/>
      <c r="M47" s="207">
        <f>8771-7883</f>
        <v>888</v>
      </c>
      <c r="N47" s="207">
        <f>22823-18943</f>
        <v>3880</v>
      </c>
      <c r="O47" s="99">
        <f t="shared" si="0"/>
        <v>4768</v>
      </c>
      <c r="P47" s="205"/>
      <c r="Q47" s="207">
        <f>8771-7883</f>
        <v>888</v>
      </c>
      <c r="R47" s="207">
        <f>22823-18943</f>
        <v>3880</v>
      </c>
      <c r="S47" s="99">
        <f t="shared" si="1"/>
        <v>4768</v>
      </c>
      <c r="T47" s="205"/>
      <c r="U47" s="207">
        <f t="shared" si="2"/>
        <v>1776</v>
      </c>
      <c r="V47" s="207">
        <f t="shared" si="3"/>
        <v>7760</v>
      </c>
      <c r="W47" s="99">
        <f t="shared" si="4"/>
        <v>9536</v>
      </c>
    </row>
    <row r="48" spans="1:23" ht="29.25" customHeight="1">
      <c r="A48" s="250" t="s">
        <v>7</v>
      </c>
      <c r="B48" s="211" t="s">
        <v>157</v>
      </c>
      <c r="C48" s="211" t="s">
        <v>720</v>
      </c>
      <c r="D48" s="148"/>
      <c r="E48" s="211"/>
      <c r="F48" s="211" t="s">
        <v>706</v>
      </c>
      <c r="G48" s="148" t="s">
        <v>707</v>
      </c>
      <c r="H48" s="343" t="s">
        <v>1480</v>
      </c>
      <c r="I48" s="214">
        <v>83903888</v>
      </c>
      <c r="J48" s="616" t="s">
        <v>364</v>
      </c>
      <c r="K48" s="707">
        <v>1.1</v>
      </c>
      <c r="L48" s="205"/>
      <c r="M48" s="207">
        <f>(7337-6815)+168</f>
        <v>690</v>
      </c>
      <c r="N48" s="207">
        <f>(31211-29168)+701</f>
        <v>2744</v>
      </c>
      <c r="O48" s="99">
        <f t="shared" si="0"/>
        <v>3434</v>
      </c>
      <c r="P48" s="205"/>
      <c r="Q48" s="207">
        <f>(7337-6815)+168</f>
        <v>690</v>
      </c>
      <c r="R48" s="207">
        <f>(31211-29168)+701</f>
        <v>2744</v>
      </c>
      <c r="S48" s="99">
        <f t="shared" si="1"/>
        <v>3434</v>
      </c>
      <c r="T48" s="205"/>
      <c r="U48" s="207">
        <f t="shared" si="2"/>
        <v>1380</v>
      </c>
      <c r="V48" s="207">
        <f t="shared" si="3"/>
        <v>5488</v>
      </c>
      <c r="W48" s="99">
        <f t="shared" si="4"/>
        <v>6868</v>
      </c>
    </row>
    <row r="49" spans="1:23" ht="29.25" customHeight="1">
      <c r="A49" s="250" t="s">
        <v>7</v>
      </c>
      <c r="B49" s="211" t="s">
        <v>157</v>
      </c>
      <c r="C49" s="211" t="s">
        <v>721</v>
      </c>
      <c r="D49" s="148"/>
      <c r="E49" s="211">
        <v>2</v>
      </c>
      <c r="F49" s="211" t="s">
        <v>706</v>
      </c>
      <c r="G49" s="148" t="s">
        <v>707</v>
      </c>
      <c r="H49" s="343" t="s">
        <v>1481</v>
      </c>
      <c r="I49" s="214">
        <v>83903912</v>
      </c>
      <c r="J49" s="616" t="s">
        <v>364</v>
      </c>
      <c r="K49" s="707">
        <v>2.2</v>
      </c>
      <c r="L49" s="205"/>
      <c r="M49" s="207">
        <f>(18616-16124)+465</f>
        <v>2957</v>
      </c>
      <c r="N49" s="207">
        <f>(55462-49671)+2320</f>
        <v>8111</v>
      </c>
      <c r="O49" s="99">
        <f t="shared" si="0"/>
        <v>11068</v>
      </c>
      <c r="P49" s="205"/>
      <c r="Q49" s="207">
        <f>(18616-16124)+465</f>
        <v>2957</v>
      </c>
      <c r="R49" s="207">
        <f>(55462-49671)+2320</f>
        <v>8111</v>
      </c>
      <c r="S49" s="99">
        <f t="shared" si="1"/>
        <v>11068</v>
      </c>
      <c r="T49" s="205"/>
      <c r="U49" s="207">
        <f t="shared" si="2"/>
        <v>5914</v>
      </c>
      <c r="V49" s="207">
        <f t="shared" si="3"/>
        <v>16222</v>
      </c>
      <c r="W49" s="99">
        <f t="shared" si="4"/>
        <v>22136</v>
      </c>
    </row>
    <row r="50" spans="1:23" ht="29.25" customHeight="1">
      <c r="A50" s="250" t="s">
        <v>7</v>
      </c>
      <c r="B50" s="211" t="s">
        <v>157</v>
      </c>
      <c r="C50" s="211" t="s">
        <v>721</v>
      </c>
      <c r="D50" s="148"/>
      <c r="E50" s="211">
        <v>1</v>
      </c>
      <c r="F50" s="211" t="s">
        <v>706</v>
      </c>
      <c r="G50" s="148" t="s">
        <v>707</v>
      </c>
      <c r="H50" s="343" t="s">
        <v>1482</v>
      </c>
      <c r="I50" s="214">
        <v>83903769</v>
      </c>
      <c r="J50" s="616" t="s">
        <v>364</v>
      </c>
      <c r="K50" s="707">
        <v>2.2</v>
      </c>
      <c r="L50" s="205"/>
      <c r="M50" s="207">
        <f>(10540-9250)+217</f>
        <v>1507</v>
      </c>
      <c r="N50" s="207">
        <f>(30619-27882)+1046</f>
        <v>3783</v>
      </c>
      <c r="O50" s="99">
        <f t="shared" si="0"/>
        <v>5290</v>
      </c>
      <c r="P50" s="205"/>
      <c r="Q50" s="207">
        <f>(10540-9250)+217</f>
        <v>1507</v>
      </c>
      <c r="R50" s="207">
        <f>(30619-27882)+1046</f>
        <v>3783</v>
      </c>
      <c r="S50" s="99">
        <f t="shared" si="1"/>
        <v>5290</v>
      </c>
      <c r="T50" s="205"/>
      <c r="U50" s="207">
        <f t="shared" si="2"/>
        <v>3014</v>
      </c>
      <c r="V50" s="207">
        <f t="shared" si="3"/>
        <v>7566</v>
      </c>
      <c r="W50" s="99">
        <f t="shared" si="4"/>
        <v>10580</v>
      </c>
    </row>
    <row r="51" spans="1:23" ht="29.25" customHeight="1">
      <c r="A51" s="250" t="s">
        <v>7</v>
      </c>
      <c r="B51" s="211" t="s">
        <v>157</v>
      </c>
      <c r="C51" s="211" t="s">
        <v>722</v>
      </c>
      <c r="D51" s="148"/>
      <c r="E51" s="211"/>
      <c r="F51" s="211" t="s">
        <v>706</v>
      </c>
      <c r="G51" s="148" t="s">
        <v>707</v>
      </c>
      <c r="H51" s="343" t="s">
        <v>1483</v>
      </c>
      <c r="I51" s="214">
        <v>93020732</v>
      </c>
      <c r="J51" s="616" t="s">
        <v>364</v>
      </c>
      <c r="K51" s="708">
        <v>2</v>
      </c>
      <c r="L51" s="205"/>
      <c r="M51" s="207">
        <f>(9080-8079)+186</f>
        <v>1187</v>
      </c>
      <c r="N51" s="207">
        <f>(36613-32945)+1068</f>
        <v>4736</v>
      </c>
      <c r="O51" s="99">
        <f t="shared" si="0"/>
        <v>5923</v>
      </c>
      <c r="P51" s="205"/>
      <c r="Q51" s="207">
        <f>(9080-8079)+186</f>
        <v>1187</v>
      </c>
      <c r="R51" s="207">
        <f>(36613-32945)+1068</f>
        <v>4736</v>
      </c>
      <c r="S51" s="99">
        <f t="shared" si="1"/>
        <v>5923</v>
      </c>
      <c r="T51" s="205"/>
      <c r="U51" s="207">
        <f t="shared" si="2"/>
        <v>2374</v>
      </c>
      <c r="V51" s="207">
        <f t="shared" si="3"/>
        <v>9472</v>
      </c>
      <c r="W51" s="99">
        <f t="shared" si="4"/>
        <v>11846</v>
      </c>
    </row>
    <row r="52" spans="1:23" ht="29.25" customHeight="1">
      <c r="A52" s="250" t="s">
        <v>7</v>
      </c>
      <c r="B52" s="211" t="s">
        <v>157</v>
      </c>
      <c r="C52" s="211" t="s">
        <v>723</v>
      </c>
      <c r="D52" s="148"/>
      <c r="E52" s="211"/>
      <c r="F52" s="211" t="s">
        <v>706</v>
      </c>
      <c r="G52" s="148" t="s">
        <v>707</v>
      </c>
      <c r="H52" s="343" t="s">
        <v>1484</v>
      </c>
      <c r="I52" s="214">
        <v>89125021</v>
      </c>
      <c r="J52" s="616" t="s">
        <v>364</v>
      </c>
      <c r="K52" s="707">
        <v>2.2</v>
      </c>
      <c r="L52" s="205"/>
      <c r="M52" s="207">
        <f>(1274-860)</f>
        <v>414</v>
      </c>
      <c r="N52" s="207">
        <f>5835-4155</f>
        <v>1680</v>
      </c>
      <c r="O52" s="99">
        <f t="shared" si="0"/>
        <v>2094</v>
      </c>
      <c r="P52" s="205"/>
      <c r="Q52" s="207">
        <f>(1274-860)</f>
        <v>414</v>
      </c>
      <c r="R52" s="207">
        <f>5835-4155</f>
        <v>1680</v>
      </c>
      <c r="S52" s="99">
        <f t="shared" si="1"/>
        <v>2094</v>
      </c>
      <c r="T52" s="205"/>
      <c r="U52" s="207">
        <f t="shared" si="2"/>
        <v>828</v>
      </c>
      <c r="V52" s="207">
        <f t="shared" si="3"/>
        <v>3360</v>
      </c>
      <c r="W52" s="99">
        <f t="shared" si="4"/>
        <v>4188</v>
      </c>
    </row>
    <row r="53" spans="1:23" ht="29.25" customHeight="1">
      <c r="A53" s="250" t="s">
        <v>7</v>
      </c>
      <c r="B53" s="211" t="s">
        <v>157</v>
      </c>
      <c r="C53" s="211" t="s">
        <v>724</v>
      </c>
      <c r="D53" s="148"/>
      <c r="E53" s="211"/>
      <c r="F53" s="211" t="s">
        <v>706</v>
      </c>
      <c r="G53" s="148" t="s">
        <v>707</v>
      </c>
      <c r="H53" s="343" t="s">
        <v>1485</v>
      </c>
      <c r="I53" s="214">
        <v>83904361</v>
      </c>
      <c r="J53" s="616" t="s">
        <v>364</v>
      </c>
      <c r="K53" s="707">
        <v>2.2</v>
      </c>
      <c r="L53" s="205"/>
      <c r="M53" s="207">
        <f>(2073-1857)+109</f>
        <v>325</v>
      </c>
      <c r="N53" s="207">
        <f>(8649-7885)+506</f>
        <v>1270</v>
      </c>
      <c r="O53" s="99">
        <f t="shared" si="0"/>
        <v>1595</v>
      </c>
      <c r="P53" s="205"/>
      <c r="Q53" s="207">
        <f>(2073-1857)+109</f>
        <v>325</v>
      </c>
      <c r="R53" s="207">
        <f>(8649-7885)+506</f>
        <v>1270</v>
      </c>
      <c r="S53" s="99">
        <f t="shared" si="1"/>
        <v>1595</v>
      </c>
      <c r="T53" s="205"/>
      <c r="U53" s="207">
        <f t="shared" si="2"/>
        <v>650</v>
      </c>
      <c r="V53" s="207">
        <f t="shared" si="3"/>
        <v>2540</v>
      </c>
      <c r="W53" s="99">
        <f t="shared" si="4"/>
        <v>3190</v>
      </c>
    </row>
    <row r="54" spans="1:23" ht="29.25" customHeight="1">
      <c r="A54" s="250" t="s">
        <v>7</v>
      </c>
      <c r="B54" s="211" t="s">
        <v>157</v>
      </c>
      <c r="C54" s="211" t="s">
        <v>725</v>
      </c>
      <c r="D54" s="148"/>
      <c r="E54" s="211"/>
      <c r="F54" s="211" t="s">
        <v>706</v>
      </c>
      <c r="G54" s="148" t="s">
        <v>707</v>
      </c>
      <c r="H54" s="343" t="s">
        <v>1486</v>
      </c>
      <c r="I54" s="214">
        <v>83904299</v>
      </c>
      <c r="J54" s="616" t="s">
        <v>364</v>
      </c>
      <c r="K54" s="707">
        <v>2.2</v>
      </c>
      <c r="L54" s="205"/>
      <c r="M54" s="207">
        <f>(3371-2926)+65</f>
        <v>510</v>
      </c>
      <c r="N54" s="207">
        <f>(10047-9035)+327</f>
        <v>1339</v>
      </c>
      <c r="O54" s="99">
        <f t="shared" si="0"/>
        <v>1849</v>
      </c>
      <c r="P54" s="205"/>
      <c r="Q54" s="207">
        <f>(3371-2926)+65</f>
        <v>510</v>
      </c>
      <c r="R54" s="207">
        <f>(10047-9035)+327</f>
        <v>1339</v>
      </c>
      <c r="S54" s="99">
        <f t="shared" si="1"/>
        <v>1849</v>
      </c>
      <c r="T54" s="205"/>
      <c r="U54" s="207">
        <f t="shared" si="2"/>
        <v>1020</v>
      </c>
      <c r="V54" s="207">
        <f t="shared" si="3"/>
        <v>2678</v>
      </c>
      <c r="W54" s="99">
        <f t="shared" si="4"/>
        <v>3698</v>
      </c>
    </row>
    <row r="55" spans="1:23" ht="29.25" customHeight="1">
      <c r="A55" s="250" t="s">
        <v>7</v>
      </c>
      <c r="B55" s="211" t="s">
        <v>157</v>
      </c>
      <c r="C55" s="211" t="s">
        <v>726</v>
      </c>
      <c r="D55" s="148"/>
      <c r="E55" s="211"/>
      <c r="F55" s="211" t="s">
        <v>706</v>
      </c>
      <c r="G55" s="148" t="s">
        <v>707</v>
      </c>
      <c r="H55" s="343" t="s">
        <v>1487</v>
      </c>
      <c r="I55" s="214">
        <v>83903876</v>
      </c>
      <c r="J55" s="616" t="s">
        <v>364</v>
      </c>
      <c r="K55" s="707">
        <v>2.2</v>
      </c>
      <c r="L55" s="205"/>
      <c r="M55" s="207">
        <f>(4549-3974)+79</f>
        <v>654</v>
      </c>
      <c r="N55" s="207">
        <f>(13550-12243)+427</f>
        <v>1734</v>
      </c>
      <c r="O55" s="99">
        <f t="shared" si="0"/>
        <v>2388</v>
      </c>
      <c r="P55" s="205"/>
      <c r="Q55" s="207">
        <f>(4549-3974)+79</f>
        <v>654</v>
      </c>
      <c r="R55" s="207">
        <f>(13550-12243)+427</f>
        <v>1734</v>
      </c>
      <c r="S55" s="99">
        <f t="shared" si="1"/>
        <v>2388</v>
      </c>
      <c r="T55" s="205"/>
      <c r="U55" s="207">
        <f t="shared" si="2"/>
        <v>1308</v>
      </c>
      <c r="V55" s="207">
        <f t="shared" si="3"/>
        <v>3468</v>
      </c>
      <c r="W55" s="99">
        <f t="shared" si="4"/>
        <v>4776</v>
      </c>
    </row>
    <row r="56" spans="1:23" ht="29.25" customHeight="1">
      <c r="A56" s="250" t="s">
        <v>7</v>
      </c>
      <c r="B56" s="211" t="s">
        <v>157</v>
      </c>
      <c r="C56" s="211" t="s">
        <v>727</v>
      </c>
      <c r="D56" s="148"/>
      <c r="E56" s="211"/>
      <c r="F56" s="211" t="s">
        <v>706</v>
      </c>
      <c r="G56" s="148" t="s">
        <v>707</v>
      </c>
      <c r="H56" s="343" t="s">
        <v>1457</v>
      </c>
      <c r="I56" s="214">
        <v>83903890</v>
      </c>
      <c r="J56" s="616" t="s">
        <v>364</v>
      </c>
      <c r="K56" s="707">
        <v>2.1</v>
      </c>
      <c r="L56" s="205"/>
      <c r="M56" s="207">
        <f>(15141-13307)+222</f>
        <v>2056</v>
      </c>
      <c r="N56" s="207">
        <f>(45893-41533)+1363</f>
        <v>5723</v>
      </c>
      <c r="O56" s="99">
        <f t="shared" si="0"/>
        <v>7779</v>
      </c>
      <c r="P56" s="205"/>
      <c r="Q56" s="207">
        <f>(15141-13307)+222</f>
        <v>2056</v>
      </c>
      <c r="R56" s="207">
        <f>(45893-41533)+1363</f>
        <v>5723</v>
      </c>
      <c r="S56" s="99">
        <f t="shared" si="1"/>
        <v>7779</v>
      </c>
      <c r="T56" s="205"/>
      <c r="U56" s="207">
        <f t="shared" si="2"/>
        <v>4112</v>
      </c>
      <c r="V56" s="207">
        <f t="shared" si="3"/>
        <v>11446</v>
      </c>
      <c r="W56" s="99">
        <f t="shared" si="4"/>
        <v>15558</v>
      </c>
    </row>
    <row r="57" spans="1:23" ht="29.25" customHeight="1">
      <c r="A57" s="250" t="s">
        <v>7</v>
      </c>
      <c r="B57" s="211" t="s">
        <v>157</v>
      </c>
      <c r="C57" s="211" t="s">
        <v>728</v>
      </c>
      <c r="D57" s="148"/>
      <c r="E57" s="211"/>
      <c r="F57" s="211" t="s">
        <v>706</v>
      </c>
      <c r="G57" s="148" t="s">
        <v>707</v>
      </c>
      <c r="H57" s="343" t="s">
        <v>1488</v>
      </c>
      <c r="I57" s="214">
        <v>83903910</v>
      </c>
      <c r="J57" s="616" t="s">
        <v>364</v>
      </c>
      <c r="K57" s="707">
        <v>2.2</v>
      </c>
      <c r="L57" s="205"/>
      <c r="M57" s="207">
        <f>(5365-4800)+160</f>
        <v>725</v>
      </c>
      <c r="N57" s="207">
        <f>(23081-20767)+776</f>
        <v>3090</v>
      </c>
      <c r="O57" s="99">
        <f t="shared" si="0"/>
        <v>3815</v>
      </c>
      <c r="P57" s="205"/>
      <c r="Q57" s="207">
        <f>(5365-4800)+160</f>
        <v>725</v>
      </c>
      <c r="R57" s="207">
        <f>(23081-20767)+776</f>
        <v>3090</v>
      </c>
      <c r="S57" s="99">
        <f t="shared" si="1"/>
        <v>3815</v>
      </c>
      <c r="T57" s="205"/>
      <c r="U57" s="207">
        <f t="shared" si="2"/>
        <v>1450</v>
      </c>
      <c r="V57" s="207">
        <f t="shared" si="3"/>
        <v>6180</v>
      </c>
      <c r="W57" s="99">
        <f t="shared" si="4"/>
        <v>7630</v>
      </c>
    </row>
    <row r="58" spans="1:23" ht="29.25" customHeight="1">
      <c r="A58" s="250" t="s">
        <v>7</v>
      </c>
      <c r="B58" s="211" t="s">
        <v>157</v>
      </c>
      <c r="C58" s="211" t="s">
        <v>729</v>
      </c>
      <c r="D58" s="148"/>
      <c r="E58" s="211"/>
      <c r="F58" s="211" t="s">
        <v>706</v>
      </c>
      <c r="G58" s="148" t="s">
        <v>707</v>
      </c>
      <c r="H58" s="343" t="s">
        <v>1489</v>
      </c>
      <c r="I58" s="214">
        <v>83903906</v>
      </c>
      <c r="J58" s="616" t="s">
        <v>364</v>
      </c>
      <c r="K58" s="707">
        <v>2.2</v>
      </c>
      <c r="L58" s="205"/>
      <c r="M58" s="207">
        <f>(4498-4057)+149</f>
        <v>590</v>
      </c>
      <c r="N58" s="207">
        <f>(19007-17206)+706</f>
        <v>2507</v>
      </c>
      <c r="O58" s="99">
        <f t="shared" si="0"/>
        <v>3097</v>
      </c>
      <c r="P58" s="205"/>
      <c r="Q58" s="207">
        <f>(4498-4057)+149</f>
        <v>590</v>
      </c>
      <c r="R58" s="207">
        <f>(19007-17206)+706</f>
        <v>2507</v>
      </c>
      <c r="S58" s="99">
        <f t="shared" si="1"/>
        <v>3097</v>
      </c>
      <c r="T58" s="205"/>
      <c r="U58" s="207">
        <f t="shared" si="2"/>
        <v>1180</v>
      </c>
      <c r="V58" s="207">
        <f t="shared" si="3"/>
        <v>5014</v>
      </c>
      <c r="W58" s="99">
        <f t="shared" si="4"/>
        <v>6194</v>
      </c>
    </row>
    <row r="59" spans="1:23" ht="29.25" customHeight="1">
      <c r="A59" s="250" t="s">
        <v>7</v>
      </c>
      <c r="B59" s="211" t="s">
        <v>157</v>
      </c>
      <c r="C59" s="211" t="s">
        <v>730</v>
      </c>
      <c r="D59" s="148"/>
      <c r="E59" s="211">
        <v>26</v>
      </c>
      <c r="F59" s="211" t="s">
        <v>706</v>
      </c>
      <c r="G59" s="148" t="s">
        <v>707</v>
      </c>
      <c r="H59" s="343" t="s">
        <v>1490</v>
      </c>
      <c r="I59" s="214">
        <v>83908009</v>
      </c>
      <c r="J59" s="616" t="s">
        <v>364</v>
      </c>
      <c r="K59" s="707">
        <v>2.2</v>
      </c>
      <c r="L59" s="205"/>
      <c r="M59" s="207">
        <f>(5043-4364)+67</f>
        <v>746</v>
      </c>
      <c r="N59" s="207">
        <f>(15570-13963)+401</f>
        <v>2008</v>
      </c>
      <c r="O59" s="99">
        <f t="shared" si="0"/>
        <v>2754</v>
      </c>
      <c r="P59" s="205"/>
      <c r="Q59" s="207">
        <f>(5043-4364)+67</f>
        <v>746</v>
      </c>
      <c r="R59" s="207">
        <f>(15570-13963)+401</f>
        <v>2008</v>
      </c>
      <c r="S59" s="99">
        <f t="shared" si="1"/>
        <v>2754</v>
      </c>
      <c r="T59" s="205"/>
      <c r="U59" s="207">
        <f t="shared" si="2"/>
        <v>1492</v>
      </c>
      <c r="V59" s="207">
        <f t="shared" si="3"/>
        <v>4016</v>
      </c>
      <c r="W59" s="99">
        <f t="shared" si="4"/>
        <v>5508</v>
      </c>
    </row>
    <row r="60" spans="1:23" ht="29.25" customHeight="1">
      <c r="A60" s="250" t="s">
        <v>7</v>
      </c>
      <c r="B60" s="211" t="s">
        <v>157</v>
      </c>
      <c r="C60" s="211" t="s">
        <v>730</v>
      </c>
      <c r="D60" s="148"/>
      <c r="E60" s="211">
        <v>1</v>
      </c>
      <c r="F60" s="211" t="s">
        <v>706</v>
      </c>
      <c r="G60" s="148" t="s">
        <v>707</v>
      </c>
      <c r="H60" s="343" t="s">
        <v>1491</v>
      </c>
      <c r="I60" s="214">
        <v>83904322</v>
      </c>
      <c r="J60" s="616" t="s">
        <v>364</v>
      </c>
      <c r="K60" s="707">
        <v>0.8</v>
      </c>
      <c r="L60" s="205"/>
      <c r="M60" s="207">
        <f>(1756-1535)+15</f>
        <v>236</v>
      </c>
      <c r="N60" s="207">
        <f>(5706-5160)+99</f>
        <v>645</v>
      </c>
      <c r="O60" s="99">
        <f t="shared" si="0"/>
        <v>881</v>
      </c>
      <c r="P60" s="205"/>
      <c r="Q60" s="207">
        <f>(1756-1535)+15</f>
        <v>236</v>
      </c>
      <c r="R60" s="207">
        <f>(5706-5160)+99</f>
        <v>645</v>
      </c>
      <c r="S60" s="99">
        <f t="shared" si="1"/>
        <v>881</v>
      </c>
      <c r="T60" s="205"/>
      <c r="U60" s="207">
        <f t="shared" si="2"/>
        <v>472</v>
      </c>
      <c r="V60" s="207">
        <f t="shared" si="3"/>
        <v>1290</v>
      </c>
      <c r="W60" s="99">
        <f t="shared" si="4"/>
        <v>1762</v>
      </c>
    </row>
    <row r="61" spans="1:23" ht="29.25" customHeight="1">
      <c r="A61" s="250" t="s">
        <v>7</v>
      </c>
      <c r="B61" s="211" t="s">
        <v>157</v>
      </c>
      <c r="C61" s="211" t="s">
        <v>731</v>
      </c>
      <c r="D61" s="148"/>
      <c r="E61" s="211"/>
      <c r="F61" s="211" t="s">
        <v>706</v>
      </c>
      <c r="G61" s="148" t="s">
        <v>707</v>
      </c>
      <c r="H61" s="343" t="s">
        <v>1492</v>
      </c>
      <c r="I61" s="214">
        <v>83907910</v>
      </c>
      <c r="J61" s="616" t="s">
        <v>364</v>
      </c>
      <c r="K61" s="707">
        <v>2.2</v>
      </c>
      <c r="L61" s="205"/>
      <c r="M61" s="207">
        <f>(6535-5783)+171</f>
        <v>923</v>
      </c>
      <c r="N61" s="207">
        <f>(28136-25083)+897</f>
        <v>3950</v>
      </c>
      <c r="O61" s="99">
        <f t="shared" si="0"/>
        <v>4873</v>
      </c>
      <c r="P61" s="205"/>
      <c r="Q61" s="207">
        <f>(6535-5783)+171</f>
        <v>923</v>
      </c>
      <c r="R61" s="207">
        <f>(28136-25083)+897</f>
        <v>3950</v>
      </c>
      <c r="S61" s="99">
        <f t="shared" si="1"/>
        <v>4873</v>
      </c>
      <c r="T61" s="205"/>
      <c r="U61" s="207">
        <f t="shared" si="2"/>
        <v>1846</v>
      </c>
      <c r="V61" s="207">
        <f t="shared" si="3"/>
        <v>7900</v>
      </c>
      <c r="W61" s="99">
        <f t="shared" si="4"/>
        <v>9746</v>
      </c>
    </row>
    <row r="62" spans="1:23" ht="29.25" customHeight="1">
      <c r="A62" s="250" t="s">
        <v>7</v>
      </c>
      <c r="B62" s="211" t="s">
        <v>157</v>
      </c>
      <c r="C62" s="211" t="s">
        <v>732</v>
      </c>
      <c r="D62" s="148"/>
      <c r="E62" s="211"/>
      <c r="F62" s="211" t="s">
        <v>706</v>
      </c>
      <c r="G62" s="148" t="s">
        <v>707</v>
      </c>
      <c r="H62" s="343" t="s">
        <v>1493</v>
      </c>
      <c r="I62" s="214">
        <v>83903882</v>
      </c>
      <c r="J62" s="616" t="s">
        <v>364</v>
      </c>
      <c r="K62" s="707">
        <v>2.2</v>
      </c>
      <c r="L62" s="205"/>
      <c r="M62" s="207">
        <f>(6816-5995)+130</f>
        <v>951</v>
      </c>
      <c r="N62" s="207">
        <f>(20368-18229)+659</f>
        <v>2798</v>
      </c>
      <c r="O62" s="99">
        <f t="shared" si="0"/>
        <v>3749</v>
      </c>
      <c r="P62" s="205"/>
      <c r="Q62" s="207">
        <f>(6816-5995)+130</f>
        <v>951</v>
      </c>
      <c r="R62" s="207">
        <f>(20368-18229)+659</f>
        <v>2798</v>
      </c>
      <c r="S62" s="99">
        <f t="shared" si="1"/>
        <v>3749</v>
      </c>
      <c r="T62" s="205"/>
      <c r="U62" s="207">
        <f t="shared" si="2"/>
        <v>1902</v>
      </c>
      <c r="V62" s="207">
        <f t="shared" si="3"/>
        <v>5596</v>
      </c>
      <c r="W62" s="99">
        <f t="shared" si="4"/>
        <v>7498</v>
      </c>
    </row>
    <row r="63" spans="1:23" ht="29.25" customHeight="1">
      <c r="A63" s="250" t="s">
        <v>7</v>
      </c>
      <c r="B63" s="211" t="s">
        <v>157</v>
      </c>
      <c r="C63" s="211" t="s">
        <v>733</v>
      </c>
      <c r="D63" s="148"/>
      <c r="E63" s="211"/>
      <c r="F63" s="211" t="s">
        <v>706</v>
      </c>
      <c r="G63" s="148" t="s">
        <v>707</v>
      </c>
      <c r="H63" s="343" t="s">
        <v>1495</v>
      </c>
      <c r="I63" s="214">
        <v>83903901</v>
      </c>
      <c r="J63" s="616" t="s">
        <v>364</v>
      </c>
      <c r="K63" s="707">
        <v>1.2</v>
      </c>
      <c r="L63" s="205"/>
      <c r="M63" s="207">
        <f>(6169-5463)+114</f>
        <v>820</v>
      </c>
      <c r="N63" s="207">
        <f>(17913-16279)+540</f>
        <v>2174</v>
      </c>
      <c r="O63" s="99">
        <f t="shared" si="0"/>
        <v>2994</v>
      </c>
      <c r="P63" s="205"/>
      <c r="Q63" s="207">
        <f>(6169-5463)+114</f>
        <v>820</v>
      </c>
      <c r="R63" s="207">
        <f>(17913-16279)+540</f>
        <v>2174</v>
      </c>
      <c r="S63" s="99">
        <f t="shared" si="1"/>
        <v>2994</v>
      </c>
      <c r="T63" s="205"/>
      <c r="U63" s="207">
        <f t="shared" si="2"/>
        <v>1640</v>
      </c>
      <c r="V63" s="207">
        <f t="shared" si="3"/>
        <v>4348</v>
      </c>
      <c r="W63" s="99">
        <f t="shared" si="4"/>
        <v>5988</v>
      </c>
    </row>
    <row r="64" spans="1:23" ht="29.25" customHeight="1">
      <c r="A64" s="250" t="s">
        <v>7</v>
      </c>
      <c r="B64" s="211" t="s">
        <v>157</v>
      </c>
      <c r="C64" s="211" t="s">
        <v>734</v>
      </c>
      <c r="D64" s="148"/>
      <c r="E64" s="211"/>
      <c r="F64" s="211" t="s">
        <v>706</v>
      </c>
      <c r="G64" s="148" t="s">
        <v>707</v>
      </c>
      <c r="H64" s="343" t="s">
        <v>1496</v>
      </c>
      <c r="I64" s="214">
        <v>83903773</v>
      </c>
      <c r="J64" s="616" t="s">
        <v>364</v>
      </c>
      <c r="K64" s="707">
        <v>1.7</v>
      </c>
      <c r="L64" s="206"/>
      <c r="M64" s="207">
        <f>(9404-8216)+159</f>
        <v>1347</v>
      </c>
      <c r="N64" s="207">
        <f>(27753-25090)+869</f>
        <v>3532</v>
      </c>
      <c r="O64" s="99">
        <f t="shared" si="0"/>
        <v>4879</v>
      </c>
      <c r="P64" s="206"/>
      <c r="Q64" s="207">
        <f>(9404-8216)+159</f>
        <v>1347</v>
      </c>
      <c r="R64" s="207">
        <f>(27753-25090)+869</f>
        <v>3532</v>
      </c>
      <c r="S64" s="99">
        <f t="shared" si="1"/>
        <v>4879</v>
      </c>
      <c r="T64" s="206"/>
      <c r="U64" s="207">
        <f t="shared" si="2"/>
        <v>2694</v>
      </c>
      <c r="V64" s="207">
        <f t="shared" si="3"/>
        <v>7064</v>
      </c>
      <c r="W64" s="99">
        <f t="shared" si="4"/>
        <v>9758</v>
      </c>
    </row>
    <row r="65" spans="1:23" ht="29.25" customHeight="1">
      <c r="A65" s="250" t="s">
        <v>7</v>
      </c>
      <c r="B65" s="211" t="s">
        <v>157</v>
      </c>
      <c r="C65" s="211" t="s">
        <v>735</v>
      </c>
      <c r="D65" s="148"/>
      <c r="E65" s="211"/>
      <c r="F65" s="211" t="s">
        <v>706</v>
      </c>
      <c r="G65" s="148" t="s">
        <v>707</v>
      </c>
      <c r="H65" s="343" t="s">
        <v>1497</v>
      </c>
      <c r="I65" s="214">
        <v>83903885</v>
      </c>
      <c r="J65" s="616" t="s">
        <v>364</v>
      </c>
      <c r="K65" s="707">
        <v>2.2</v>
      </c>
      <c r="L65" s="206"/>
      <c r="M65" s="207">
        <f>(19757-17330)+315</f>
        <v>2742</v>
      </c>
      <c r="N65" s="207">
        <f>(60311-54292)+1728</f>
        <v>7747</v>
      </c>
      <c r="O65" s="99">
        <f t="shared" si="0"/>
        <v>10489</v>
      </c>
      <c r="P65" s="206"/>
      <c r="Q65" s="207">
        <f>(19757-17330)+315</f>
        <v>2742</v>
      </c>
      <c r="R65" s="207">
        <f>(60311-54292)+1728</f>
        <v>7747</v>
      </c>
      <c r="S65" s="99">
        <f t="shared" si="1"/>
        <v>10489</v>
      </c>
      <c r="T65" s="206"/>
      <c r="U65" s="207">
        <f t="shared" si="2"/>
        <v>5484</v>
      </c>
      <c r="V65" s="207">
        <f t="shared" si="3"/>
        <v>15494</v>
      </c>
      <c r="W65" s="99">
        <f t="shared" si="4"/>
        <v>20978</v>
      </c>
    </row>
    <row r="66" spans="1:23" ht="29.25" customHeight="1">
      <c r="A66" s="250" t="s">
        <v>7</v>
      </c>
      <c r="B66" s="211" t="s">
        <v>157</v>
      </c>
      <c r="C66" s="211" t="s">
        <v>736</v>
      </c>
      <c r="D66" s="148"/>
      <c r="E66" s="211"/>
      <c r="F66" s="211" t="s">
        <v>706</v>
      </c>
      <c r="G66" s="148" t="s">
        <v>707</v>
      </c>
      <c r="H66" s="343" t="s">
        <v>1494</v>
      </c>
      <c r="I66" s="214">
        <v>92953178</v>
      </c>
      <c r="J66" s="616" t="s">
        <v>364</v>
      </c>
      <c r="K66" s="707">
        <v>1.5</v>
      </c>
      <c r="L66" s="206"/>
      <c r="M66" s="207">
        <f>8793-7380</f>
        <v>1413</v>
      </c>
      <c r="N66" s="207">
        <f>26412-22610</f>
        <v>3802</v>
      </c>
      <c r="O66" s="99">
        <f t="shared" si="0"/>
        <v>5215</v>
      </c>
      <c r="P66" s="206"/>
      <c r="Q66" s="207">
        <f>8793-7380</f>
        <v>1413</v>
      </c>
      <c r="R66" s="207">
        <f>26412-22610</f>
        <v>3802</v>
      </c>
      <c r="S66" s="99">
        <f t="shared" si="1"/>
        <v>5215</v>
      </c>
      <c r="T66" s="206"/>
      <c r="U66" s="207">
        <f t="shared" si="2"/>
        <v>2826</v>
      </c>
      <c r="V66" s="207">
        <f t="shared" si="3"/>
        <v>7604</v>
      </c>
      <c r="W66" s="99">
        <f t="shared" si="4"/>
        <v>10430</v>
      </c>
    </row>
    <row r="67" spans="1:23" ht="29.25" customHeight="1">
      <c r="A67" s="250" t="s">
        <v>7</v>
      </c>
      <c r="B67" s="213" t="s">
        <v>157</v>
      </c>
      <c r="C67" s="208" t="s">
        <v>740</v>
      </c>
      <c r="D67" s="208"/>
      <c r="E67" s="148"/>
      <c r="F67" s="209" t="s">
        <v>706</v>
      </c>
      <c r="G67" s="148" t="s">
        <v>707</v>
      </c>
      <c r="H67" s="343" t="s">
        <v>1441</v>
      </c>
      <c r="I67" s="215">
        <v>95799893</v>
      </c>
      <c r="J67" s="617" t="s">
        <v>364</v>
      </c>
      <c r="K67" s="709">
        <v>0.3</v>
      </c>
      <c r="L67" s="346"/>
      <c r="M67" s="345">
        <f>1322-967</f>
        <v>355</v>
      </c>
      <c r="N67" s="706">
        <f>4306-2860</f>
        <v>1446</v>
      </c>
      <c r="O67" s="99">
        <f t="shared" si="0"/>
        <v>1801</v>
      </c>
      <c r="P67" s="346"/>
      <c r="Q67" s="345">
        <f>1322-967</f>
        <v>355</v>
      </c>
      <c r="R67" s="706">
        <f>4306-2860</f>
        <v>1446</v>
      </c>
      <c r="S67" s="99">
        <f t="shared" si="1"/>
        <v>1801</v>
      </c>
      <c r="T67" s="346"/>
      <c r="U67" s="207">
        <f t="shared" si="2"/>
        <v>710</v>
      </c>
      <c r="V67" s="207">
        <f t="shared" si="3"/>
        <v>2892</v>
      </c>
      <c r="W67" s="99">
        <f t="shared" si="4"/>
        <v>3602</v>
      </c>
    </row>
    <row r="68" spans="1:23" ht="29.25" customHeight="1">
      <c r="A68" s="234" t="s">
        <v>7</v>
      </c>
      <c r="B68" s="213" t="s">
        <v>157</v>
      </c>
      <c r="C68" s="344" t="s">
        <v>1443</v>
      </c>
      <c r="D68" s="158"/>
      <c r="E68" s="57"/>
      <c r="F68" s="51" t="s">
        <v>706</v>
      </c>
      <c r="G68" s="51" t="s">
        <v>707</v>
      </c>
      <c r="H68" s="343" t="s">
        <v>1771</v>
      </c>
      <c r="I68" s="51">
        <v>83246554</v>
      </c>
      <c r="J68" s="617" t="s">
        <v>364</v>
      </c>
      <c r="K68" s="562">
        <v>2</v>
      </c>
      <c r="L68" s="41"/>
      <c r="M68" s="354">
        <f>928-651</f>
        <v>277</v>
      </c>
      <c r="N68" s="354">
        <f>3362-2404</f>
        <v>958</v>
      </c>
      <c r="O68" s="99">
        <f t="shared" si="0"/>
        <v>1235</v>
      </c>
      <c r="P68" s="41"/>
      <c r="Q68" s="354">
        <f>928-651</f>
        <v>277</v>
      </c>
      <c r="R68" s="354">
        <f>3362-2404</f>
        <v>958</v>
      </c>
      <c r="S68" s="99">
        <f t="shared" si="1"/>
        <v>1235</v>
      </c>
      <c r="T68" s="41"/>
      <c r="U68" s="207">
        <f t="shared" si="2"/>
        <v>554</v>
      </c>
      <c r="V68" s="207">
        <f t="shared" si="3"/>
        <v>1916</v>
      </c>
      <c r="W68" s="99">
        <f t="shared" si="4"/>
        <v>2470</v>
      </c>
    </row>
    <row r="69" spans="1:23" ht="29.25" customHeight="1">
      <c r="A69" s="233" t="s">
        <v>7</v>
      </c>
      <c r="B69" s="149" t="s">
        <v>157</v>
      </c>
      <c r="C69" s="704" t="s">
        <v>735</v>
      </c>
      <c r="D69" s="158"/>
      <c r="E69" s="169"/>
      <c r="F69" s="48" t="s">
        <v>706</v>
      </c>
      <c r="G69" s="48" t="s">
        <v>707</v>
      </c>
      <c r="H69" s="343" t="s">
        <v>1924</v>
      </c>
      <c r="I69" s="48">
        <v>83638417</v>
      </c>
      <c r="J69" s="617" t="s">
        <v>364</v>
      </c>
      <c r="K69" s="625">
        <v>0.5</v>
      </c>
      <c r="L69" s="50"/>
      <c r="M69" s="554">
        <f>9*15</f>
        <v>135</v>
      </c>
      <c r="N69" s="554">
        <f>70*15</f>
        <v>1050</v>
      </c>
      <c r="O69" s="99">
        <f t="shared" si="0"/>
        <v>1185</v>
      </c>
      <c r="P69" s="50"/>
      <c r="Q69" s="554">
        <f>9*15</f>
        <v>135</v>
      </c>
      <c r="R69" s="554">
        <f>70*15</f>
        <v>1050</v>
      </c>
      <c r="S69" s="99">
        <f t="shared" si="1"/>
        <v>1185</v>
      </c>
      <c r="T69" s="50"/>
      <c r="U69" s="207">
        <f t="shared" si="2"/>
        <v>270</v>
      </c>
      <c r="V69" s="207">
        <f t="shared" si="3"/>
        <v>2100</v>
      </c>
      <c r="W69" s="99">
        <f t="shared" si="4"/>
        <v>2370</v>
      </c>
    </row>
    <row r="70" spans="1:23" ht="29.25" customHeight="1">
      <c r="A70" s="233" t="s">
        <v>7</v>
      </c>
      <c r="B70" s="703" t="s">
        <v>1927</v>
      </c>
      <c r="C70" s="703" t="s">
        <v>707</v>
      </c>
      <c r="D70" s="703" t="s">
        <v>1926</v>
      </c>
      <c r="E70" s="497"/>
      <c r="F70" s="497" t="s">
        <v>706</v>
      </c>
      <c r="G70" s="705" t="s">
        <v>707</v>
      </c>
      <c r="H70" s="302" t="s">
        <v>1925</v>
      </c>
      <c r="I70" s="498">
        <v>93086190</v>
      </c>
      <c r="J70" s="617" t="s">
        <v>364</v>
      </c>
      <c r="K70" s="710">
        <v>3</v>
      </c>
      <c r="L70" s="50"/>
      <c r="M70" s="49">
        <f>7-5</f>
        <v>2</v>
      </c>
      <c r="N70" s="49">
        <f>9-5</f>
        <v>4</v>
      </c>
      <c r="O70" s="99">
        <f t="shared" si="0"/>
        <v>6</v>
      </c>
      <c r="P70" s="50"/>
      <c r="Q70" s="49">
        <f>7-5</f>
        <v>2</v>
      </c>
      <c r="R70" s="49">
        <f>9-5</f>
        <v>4</v>
      </c>
      <c r="S70" s="99">
        <f t="shared" si="1"/>
        <v>6</v>
      </c>
      <c r="T70" s="50"/>
      <c r="U70" s="207">
        <f t="shared" si="2"/>
        <v>4</v>
      </c>
      <c r="V70" s="207">
        <f t="shared" si="3"/>
        <v>8</v>
      </c>
      <c r="W70" s="99">
        <f t="shared" si="4"/>
        <v>12</v>
      </c>
    </row>
    <row r="71" spans="1:23" ht="29.25" customHeight="1">
      <c r="A71" s="233" t="s">
        <v>7</v>
      </c>
      <c r="B71" s="493" t="s">
        <v>1282</v>
      </c>
      <c r="C71" s="493" t="s">
        <v>721</v>
      </c>
      <c r="D71" s="51"/>
      <c r="E71" s="493"/>
      <c r="F71" s="493" t="s">
        <v>706</v>
      </c>
      <c r="G71" s="492" t="s">
        <v>707</v>
      </c>
      <c r="H71" s="302" t="s">
        <v>1931</v>
      </c>
      <c r="I71" s="491">
        <v>83110816</v>
      </c>
      <c r="J71" s="617" t="s">
        <v>364</v>
      </c>
      <c r="K71" s="711">
        <v>1</v>
      </c>
      <c r="L71" s="41"/>
      <c r="M71" s="12">
        <f>3278-2939</f>
        <v>339</v>
      </c>
      <c r="N71" s="12">
        <f>9437-8009</f>
        <v>1428</v>
      </c>
      <c r="O71" s="99">
        <f t="shared" si="0"/>
        <v>1767</v>
      </c>
      <c r="P71" s="41"/>
      <c r="Q71" s="12">
        <f>3278-2939</f>
        <v>339</v>
      </c>
      <c r="R71" s="12">
        <f>9437-8009</f>
        <v>1428</v>
      </c>
      <c r="S71" s="99">
        <f t="shared" si="1"/>
        <v>1767</v>
      </c>
      <c r="T71" s="41"/>
      <c r="U71" s="207">
        <f t="shared" si="2"/>
        <v>678</v>
      </c>
      <c r="V71" s="207">
        <f t="shared" si="3"/>
        <v>2856</v>
      </c>
      <c r="W71" s="99">
        <f t="shared" si="4"/>
        <v>3534</v>
      </c>
    </row>
    <row r="72" spans="1:23" ht="29.25" customHeight="1">
      <c r="A72" s="234" t="s">
        <v>7</v>
      </c>
      <c r="B72" s="493" t="s">
        <v>1932</v>
      </c>
      <c r="C72" s="493" t="s">
        <v>736</v>
      </c>
      <c r="D72" s="56"/>
      <c r="E72" s="493"/>
      <c r="F72" s="493" t="s">
        <v>706</v>
      </c>
      <c r="G72" s="492" t="s">
        <v>707</v>
      </c>
      <c r="H72" s="302" t="s">
        <v>2023</v>
      </c>
      <c r="I72" s="491">
        <v>95956068</v>
      </c>
      <c r="J72" s="617" t="s">
        <v>364</v>
      </c>
      <c r="K72" s="711">
        <v>0.1</v>
      </c>
      <c r="L72" s="41"/>
      <c r="M72" s="12">
        <f>0</f>
        <v>0</v>
      </c>
      <c r="N72" s="12">
        <f>417-108</f>
        <v>309</v>
      </c>
      <c r="O72" s="99">
        <f t="shared" si="0"/>
        <v>309</v>
      </c>
      <c r="P72" s="41"/>
      <c r="Q72" s="12">
        <f>0</f>
        <v>0</v>
      </c>
      <c r="R72" s="12">
        <f>417-108</f>
        <v>309</v>
      </c>
      <c r="S72" s="99">
        <f t="shared" si="1"/>
        <v>309</v>
      </c>
      <c r="T72" s="41"/>
      <c r="U72" s="207">
        <f t="shared" si="2"/>
        <v>0</v>
      </c>
      <c r="V72" s="207">
        <f t="shared" si="3"/>
        <v>618</v>
      </c>
      <c r="W72" s="99">
        <f t="shared" si="4"/>
        <v>618</v>
      </c>
    </row>
    <row r="73" spans="1:23" ht="29.25" customHeight="1">
      <c r="A73" s="234" t="s">
        <v>7</v>
      </c>
      <c r="B73" s="152" t="s">
        <v>157</v>
      </c>
      <c r="C73" s="497" t="s">
        <v>730</v>
      </c>
      <c r="D73" s="48"/>
      <c r="E73" s="497"/>
      <c r="F73" s="493" t="s">
        <v>706</v>
      </c>
      <c r="G73" s="516" t="s">
        <v>707</v>
      </c>
      <c r="H73" s="303" t="s">
        <v>2075</v>
      </c>
      <c r="I73" s="498">
        <v>93510366</v>
      </c>
      <c r="J73" s="617" t="s">
        <v>364</v>
      </c>
      <c r="K73" s="710">
        <v>3</v>
      </c>
      <c r="L73" s="50"/>
      <c r="M73" s="49">
        <f>10-8</f>
        <v>2</v>
      </c>
      <c r="N73" s="49">
        <f>89-86</f>
        <v>3</v>
      </c>
      <c r="O73" s="99">
        <f t="shared" si="0"/>
        <v>5</v>
      </c>
      <c r="P73" s="50"/>
      <c r="Q73" s="49">
        <f>10-8</f>
        <v>2</v>
      </c>
      <c r="R73" s="49">
        <f>89-86</f>
        <v>3</v>
      </c>
      <c r="S73" s="99">
        <f t="shared" si="1"/>
        <v>5</v>
      </c>
      <c r="T73" s="50"/>
      <c r="U73" s="207">
        <f t="shared" si="2"/>
        <v>4</v>
      </c>
      <c r="V73" s="207">
        <f t="shared" si="3"/>
        <v>6</v>
      </c>
      <c r="W73" s="99">
        <f t="shared" si="4"/>
        <v>10</v>
      </c>
    </row>
    <row r="74" spans="1:23" ht="29.25" customHeight="1">
      <c r="A74" s="234" t="s">
        <v>7</v>
      </c>
      <c r="B74" s="618" t="s">
        <v>2193</v>
      </c>
      <c r="C74" s="619" t="s">
        <v>735</v>
      </c>
      <c r="D74" s="618"/>
      <c r="E74" s="620" t="s">
        <v>2194</v>
      </c>
      <c r="F74" s="621" t="s">
        <v>2195</v>
      </c>
      <c r="G74" s="621" t="s">
        <v>707</v>
      </c>
      <c r="H74" s="622" t="s">
        <v>2196</v>
      </c>
      <c r="I74" s="573">
        <v>94882326</v>
      </c>
      <c r="J74" s="617" t="s">
        <v>364</v>
      </c>
      <c r="K74" s="712">
        <v>5</v>
      </c>
      <c r="L74" s="41"/>
      <c r="M74" s="12">
        <v>20</v>
      </c>
      <c r="N74" s="12">
        <v>40</v>
      </c>
      <c r="O74" s="99">
        <f t="shared" si="0"/>
        <v>60</v>
      </c>
      <c r="P74" s="41"/>
      <c r="Q74" s="12">
        <v>20</v>
      </c>
      <c r="R74" s="12">
        <v>40</v>
      </c>
      <c r="S74" s="99">
        <f t="shared" si="1"/>
        <v>60</v>
      </c>
      <c r="T74" s="41"/>
      <c r="U74" s="207">
        <f t="shared" si="2"/>
        <v>40</v>
      </c>
      <c r="V74" s="207">
        <f t="shared" si="3"/>
        <v>80</v>
      </c>
      <c r="W74" s="99">
        <f t="shared" si="4"/>
        <v>120</v>
      </c>
    </row>
    <row r="75" spans="1:23" ht="29.25" customHeight="1">
      <c r="A75" s="250" t="s">
        <v>7</v>
      </c>
      <c r="B75" s="211" t="s">
        <v>157</v>
      </c>
      <c r="C75" s="211" t="s">
        <v>390</v>
      </c>
      <c r="D75" s="148"/>
      <c r="E75" s="211"/>
      <c r="F75" s="211" t="s">
        <v>706</v>
      </c>
      <c r="G75" s="148" t="s">
        <v>707</v>
      </c>
      <c r="H75" s="343" t="s">
        <v>1478</v>
      </c>
      <c r="I75" s="214">
        <v>83904325</v>
      </c>
      <c r="J75" s="212" t="s">
        <v>12</v>
      </c>
      <c r="K75" s="707">
        <v>2.5</v>
      </c>
      <c r="L75" s="205"/>
      <c r="M75" s="207">
        <f>(8981-8063)+171</f>
        <v>1089</v>
      </c>
      <c r="N75" s="207">
        <f>(38768-35028)+1021</f>
        <v>4761</v>
      </c>
      <c r="O75" s="99">
        <f t="shared" si="0"/>
        <v>5850</v>
      </c>
      <c r="P75" s="205"/>
      <c r="Q75" s="207">
        <f>(8981-8063)+171</f>
        <v>1089</v>
      </c>
      <c r="R75" s="207">
        <f>(38768-35028)+1021</f>
        <v>4761</v>
      </c>
      <c r="S75" s="99">
        <f t="shared" si="1"/>
        <v>5850</v>
      </c>
      <c r="T75" s="205"/>
      <c r="U75" s="207">
        <f t="shared" si="2"/>
        <v>2178</v>
      </c>
      <c r="V75" s="207">
        <f t="shared" si="3"/>
        <v>9522</v>
      </c>
      <c r="W75" s="99">
        <f t="shared" si="4"/>
        <v>11700</v>
      </c>
    </row>
    <row r="76" spans="1:23" ht="29.25" customHeight="1" thickBot="1">
      <c r="A76" s="234" t="s">
        <v>7</v>
      </c>
      <c r="B76" s="149" t="s">
        <v>157</v>
      </c>
      <c r="C76" s="493" t="s">
        <v>707</v>
      </c>
      <c r="D76" s="51"/>
      <c r="E76" s="493"/>
      <c r="F76" s="493" t="s">
        <v>706</v>
      </c>
      <c r="G76" s="492" t="s">
        <v>707</v>
      </c>
      <c r="H76" s="302" t="s">
        <v>2148</v>
      </c>
      <c r="I76" s="491">
        <v>83925440</v>
      </c>
      <c r="J76" s="212" t="s">
        <v>12</v>
      </c>
      <c r="K76" s="711">
        <v>2.5</v>
      </c>
      <c r="L76" s="41"/>
      <c r="M76" s="12">
        <f>9231-7459</f>
        <v>1772</v>
      </c>
      <c r="N76" s="12">
        <f>9040-2705</f>
        <v>6335</v>
      </c>
      <c r="O76" s="99">
        <f t="shared" si="0"/>
        <v>8107</v>
      </c>
      <c r="P76" s="41"/>
      <c r="Q76" s="12">
        <f>9231-7459</f>
        <v>1772</v>
      </c>
      <c r="R76" s="12">
        <f>9040-2705</f>
        <v>6335</v>
      </c>
      <c r="S76" s="99">
        <f t="shared" si="1"/>
        <v>8107</v>
      </c>
      <c r="T76" s="41"/>
      <c r="U76" s="207">
        <f t="shared" si="2"/>
        <v>3544</v>
      </c>
      <c r="V76" s="207">
        <f t="shared" si="3"/>
        <v>12670</v>
      </c>
      <c r="W76" s="99">
        <f t="shared" si="4"/>
        <v>16214</v>
      </c>
    </row>
    <row r="77" spans="1:23" ht="45" customHeight="1">
      <c r="A77" s="164"/>
      <c r="B77" s="237" t="s">
        <v>150</v>
      </c>
      <c r="C77" s="64" t="s">
        <v>1761</v>
      </c>
      <c r="D77" s="36"/>
      <c r="E77" s="244"/>
      <c r="F77" s="46"/>
      <c r="G77" s="521" t="s">
        <v>2030</v>
      </c>
      <c r="H77" s="32" t="s">
        <v>1929</v>
      </c>
      <c r="I77" s="216"/>
      <c r="J77" s="147"/>
      <c r="K77" s="164"/>
      <c r="L77" s="210"/>
      <c r="M77" s="210"/>
      <c r="N77" s="495" t="s">
        <v>155</v>
      </c>
      <c r="O77" s="496">
        <f>SUM(O18:O76)</f>
        <v>310676</v>
      </c>
      <c r="P77" s="210"/>
      <c r="Q77" s="210"/>
      <c r="R77" s="495" t="s">
        <v>155</v>
      </c>
      <c r="S77" s="496">
        <f>SUM(S18:S76)</f>
        <v>310676</v>
      </c>
      <c r="T77" s="210"/>
      <c r="U77" s="210"/>
      <c r="V77" s="495" t="s">
        <v>155</v>
      </c>
      <c r="W77" s="496">
        <f>SUM(W18:W76)</f>
        <v>621352</v>
      </c>
    </row>
    <row r="78" spans="1:15" ht="15">
      <c r="A78" s="164"/>
      <c r="B78" s="237"/>
      <c r="C78" s="64" t="s">
        <v>1928</v>
      </c>
      <c r="D78" s="36"/>
      <c r="E78" s="244"/>
      <c r="F78" s="46"/>
      <c r="G78" s="254"/>
      <c r="H78" s="36" t="s">
        <v>1930</v>
      </c>
      <c r="I78" s="216"/>
      <c r="J78" s="147"/>
      <c r="K78" s="164"/>
      <c r="L78" s="210"/>
      <c r="M78" s="210"/>
      <c r="N78" s="210"/>
      <c r="O78" s="210"/>
    </row>
    <row r="79" spans="1:15" ht="15.75" thickBot="1">
      <c r="A79" s="164"/>
      <c r="B79" s="237"/>
      <c r="C79" s="64" t="s">
        <v>737</v>
      </c>
      <c r="D79" s="36"/>
      <c r="E79" s="244"/>
      <c r="F79" s="46"/>
      <c r="G79" s="268"/>
      <c r="H79" s="39" t="s">
        <v>737</v>
      </c>
      <c r="I79" s="216"/>
      <c r="J79" s="147"/>
      <c r="K79" s="164"/>
      <c r="L79" s="210"/>
      <c r="M79" s="210"/>
      <c r="N79" s="210"/>
      <c r="O79" s="210"/>
    </row>
    <row r="80" spans="1:15" ht="15">
      <c r="A80" s="164"/>
      <c r="B80" s="237" t="s">
        <v>1640</v>
      </c>
      <c r="C80" s="64" t="s">
        <v>1770</v>
      </c>
      <c r="D80" s="36"/>
      <c r="E80" s="244"/>
      <c r="I80" s="216"/>
      <c r="J80" s="147"/>
      <c r="K80" s="164"/>
      <c r="L80" s="210"/>
      <c r="M80" s="210"/>
      <c r="N80" s="210"/>
      <c r="O80" s="210"/>
    </row>
    <row r="81" spans="1:15" ht="15.75" thickBot="1">
      <c r="A81" s="164"/>
      <c r="B81" s="200" t="s">
        <v>1644</v>
      </c>
      <c r="C81" s="67" t="s">
        <v>1769</v>
      </c>
      <c r="D81" s="39"/>
      <c r="E81" s="244"/>
      <c r="I81" s="147"/>
      <c r="J81" s="147"/>
      <c r="K81" s="164"/>
      <c r="L81" s="210"/>
      <c r="M81" s="210"/>
      <c r="N81" s="210"/>
      <c r="O81" s="210"/>
    </row>
    <row r="82" spans="1:15" ht="15">
      <c r="A82" s="164"/>
      <c r="B82" s="64"/>
      <c r="C82" s="64"/>
      <c r="D82" s="64"/>
      <c r="E82" s="467"/>
      <c r="F82" s="467"/>
      <c r="G82" s="467"/>
      <c r="H82" s="467"/>
      <c r="I82" s="147"/>
      <c r="J82" s="147"/>
      <c r="K82" s="164"/>
      <c r="L82" s="210"/>
      <c r="M82" s="210" t="s">
        <v>155</v>
      </c>
      <c r="N82" s="210">
        <f>W77</f>
        <v>621352</v>
      </c>
      <c r="O82" s="210"/>
    </row>
    <row r="83" spans="1:15" ht="15.75" thickBot="1">
      <c r="A83" s="164"/>
      <c r="B83" s="328"/>
      <c r="C83" s="64"/>
      <c r="D83" s="329"/>
      <c r="E83" s="147"/>
      <c r="F83" s="147"/>
      <c r="G83" s="147"/>
      <c r="H83" s="147"/>
      <c r="I83" s="147"/>
      <c r="J83" s="147"/>
      <c r="K83" s="164"/>
      <c r="L83" s="210"/>
      <c r="M83" s="210"/>
      <c r="N83" s="210"/>
      <c r="O83" s="210"/>
    </row>
    <row r="84" spans="1:15" ht="47.25" customHeight="1">
      <c r="A84" s="164"/>
      <c r="B84" s="147"/>
      <c r="C84" s="147"/>
      <c r="D84" s="147"/>
      <c r="E84" s="147"/>
      <c r="F84" s="147"/>
      <c r="G84" s="147"/>
      <c r="H84" s="147"/>
      <c r="I84" s="147"/>
      <c r="J84" s="147"/>
      <c r="K84" s="796" t="s">
        <v>152</v>
      </c>
      <c r="L84" s="774" t="s">
        <v>2257</v>
      </c>
      <c r="M84" s="775"/>
      <c r="N84" s="776"/>
      <c r="O84" s="741" t="s">
        <v>153</v>
      </c>
    </row>
    <row r="85" spans="1:15" ht="21.75" customHeight="1">
      <c r="A85" s="164"/>
      <c r="B85" s="147"/>
      <c r="C85" s="147"/>
      <c r="D85" s="147"/>
      <c r="E85" s="147"/>
      <c r="F85" s="147"/>
      <c r="G85" s="147"/>
      <c r="H85" s="147"/>
      <c r="I85" s="147"/>
      <c r="J85" s="147"/>
      <c r="K85" s="797"/>
      <c r="L85" s="701" t="s">
        <v>154</v>
      </c>
      <c r="M85" s="701" t="s">
        <v>1017</v>
      </c>
      <c r="N85" s="701" t="s">
        <v>1018</v>
      </c>
      <c r="O85" s="794"/>
    </row>
    <row r="86" spans="1:15" ht="21.75" customHeight="1">
      <c r="A86" s="164"/>
      <c r="B86" s="147"/>
      <c r="C86" s="147"/>
      <c r="D86" s="147"/>
      <c r="E86" s="147"/>
      <c r="F86" s="147"/>
      <c r="G86" s="147"/>
      <c r="H86" s="147"/>
      <c r="I86" s="147"/>
      <c r="J86" s="147"/>
      <c r="K86" s="551" t="s">
        <v>12</v>
      </c>
      <c r="L86" s="41"/>
      <c r="M86" s="598">
        <f>SUM(U75:U76)</f>
        <v>5722</v>
      </c>
      <c r="N86" s="598">
        <f>SUM(V75:V76)</f>
        <v>22192</v>
      </c>
      <c r="O86" s="713">
        <v>2</v>
      </c>
    </row>
    <row r="87" spans="1:16" ht="21.75" customHeight="1" thickBot="1">
      <c r="A87" s="164"/>
      <c r="B87" s="147"/>
      <c r="C87" s="147"/>
      <c r="D87" s="147"/>
      <c r="E87" s="147"/>
      <c r="F87" s="147"/>
      <c r="G87" s="147"/>
      <c r="H87" s="147"/>
      <c r="I87" s="147"/>
      <c r="J87" s="218"/>
      <c r="K87" s="586" t="s">
        <v>364</v>
      </c>
      <c r="L87" s="53"/>
      <c r="M87" s="583">
        <f>SUM(U18:U74)</f>
        <v>134052</v>
      </c>
      <c r="N87" s="583">
        <f>SUM(V18:V74)</f>
        <v>459386</v>
      </c>
      <c r="O87" s="714">
        <v>58</v>
      </c>
      <c r="P87" s="29"/>
    </row>
    <row r="88" spans="1:16" ht="21.75" customHeight="1" thickBot="1">
      <c r="A88" s="164"/>
      <c r="B88" s="147"/>
      <c r="C88" s="147"/>
      <c r="D88" s="147"/>
      <c r="E88" s="147"/>
      <c r="F88" s="147"/>
      <c r="G88" s="147"/>
      <c r="H88" s="147"/>
      <c r="I88" s="147"/>
      <c r="J88" s="218"/>
      <c r="K88" s="14" t="s">
        <v>155</v>
      </c>
      <c r="L88" s="15">
        <f>SUM(L87:L87)</f>
        <v>0</v>
      </c>
      <c r="M88" s="16">
        <f>SUM(M86:M87)</f>
        <v>139774</v>
      </c>
      <c r="N88" s="16">
        <f>SUM(N86:N87)</f>
        <v>481578</v>
      </c>
      <c r="O88" s="544">
        <f>SUM(O86:O87)</f>
        <v>60</v>
      </c>
      <c r="P88" s="29"/>
    </row>
    <row r="89" spans="1:16" ht="18.75" thickBot="1">
      <c r="A89" s="164"/>
      <c r="B89" s="147"/>
      <c r="C89" s="147"/>
      <c r="D89" s="147"/>
      <c r="E89" s="147"/>
      <c r="F89" s="147"/>
      <c r="G89" s="147"/>
      <c r="H89" s="147"/>
      <c r="I89" s="147"/>
      <c r="J89" s="218"/>
      <c r="K89"/>
      <c r="L89" s="54" t="s">
        <v>156</v>
      </c>
      <c r="M89" s="273">
        <f>SUM(L88:N88)</f>
        <v>621352</v>
      </c>
      <c r="P89" s="29"/>
    </row>
    <row r="90" spans="1:16" ht="14.25">
      <c r="A90" s="164"/>
      <c r="B90" s="147"/>
      <c r="C90" s="147"/>
      <c r="D90" s="147"/>
      <c r="E90" s="147"/>
      <c r="F90" s="147"/>
      <c r="G90" s="147"/>
      <c r="H90" s="147"/>
      <c r="I90" s="147"/>
      <c r="J90" s="218"/>
      <c r="K90"/>
      <c r="M90" s="2"/>
      <c r="P90" s="29"/>
    </row>
    <row r="91" spans="1:16" ht="14.25">
      <c r="A91" s="164"/>
      <c r="B91" s="147"/>
      <c r="C91" s="147"/>
      <c r="D91" s="147"/>
      <c r="E91" s="147"/>
      <c r="F91" s="147"/>
      <c r="G91" s="147"/>
      <c r="H91" s="147"/>
      <c r="I91" s="147"/>
      <c r="J91" s="218"/>
      <c r="K91" s="220"/>
      <c r="L91" s="217"/>
      <c r="M91" s="217"/>
      <c r="N91" s="217"/>
      <c r="O91" s="218"/>
      <c r="P91" s="29"/>
    </row>
    <row r="92" spans="1:16" ht="15">
      <c r="A92" s="164"/>
      <c r="B92" s="147"/>
      <c r="C92" s="147"/>
      <c r="D92" s="147"/>
      <c r="E92" s="147"/>
      <c r="F92" s="147"/>
      <c r="G92" s="147"/>
      <c r="H92" s="147"/>
      <c r="I92" s="147"/>
      <c r="J92" s="218"/>
      <c r="K92" s="218"/>
      <c r="L92" s="219"/>
      <c r="M92" s="221"/>
      <c r="N92" s="218"/>
      <c r="O92" s="218"/>
      <c r="P92" s="29"/>
    </row>
    <row r="93" spans="1:16" ht="14.25">
      <c r="A93" s="164"/>
      <c r="B93" s="147"/>
      <c r="C93" s="147"/>
      <c r="D93" s="147"/>
      <c r="E93" s="147"/>
      <c r="F93" s="147"/>
      <c r="G93" s="147"/>
      <c r="H93" s="147"/>
      <c r="I93" s="147"/>
      <c r="J93" s="218"/>
      <c r="K93" s="218"/>
      <c r="L93" s="218"/>
      <c r="M93" s="217"/>
      <c r="N93" s="218"/>
      <c r="O93" s="218"/>
      <c r="P93" s="29"/>
    </row>
    <row r="94" spans="10:16" ht="14.25">
      <c r="J94" s="29"/>
      <c r="K94" s="82"/>
      <c r="L94" s="29"/>
      <c r="M94" s="29"/>
      <c r="N94" s="29"/>
      <c r="O94" s="29"/>
      <c r="P94" s="29"/>
    </row>
    <row r="95" spans="10:16" ht="14.25">
      <c r="J95" s="29"/>
      <c r="K95" s="82"/>
      <c r="L95" s="29"/>
      <c r="M95" s="29"/>
      <c r="N95" s="29"/>
      <c r="O95" s="29"/>
      <c r="P95" s="29"/>
    </row>
    <row r="96" spans="10:16" ht="14.25">
      <c r="J96" s="29"/>
      <c r="K96" s="82"/>
      <c r="L96" s="29"/>
      <c r="M96" s="29"/>
      <c r="N96" s="29"/>
      <c r="O96" s="29"/>
      <c r="P96" s="29"/>
    </row>
  </sheetData>
  <sheetProtection/>
  <mergeCells count="23">
    <mergeCell ref="B1:L1"/>
    <mergeCell ref="K84:K85"/>
    <mergeCell ref="L84:N84"/>
    <mergeCell ref="O84:O85"/>
    <mergeCell ref="L16:O16"/>
    <mergeCell ref="L15:O15"/>
    <mergeCell ref="J15:J17"/>
    <mergeCell ref="F15:F17"/>
    <mergeCell ref="G15:G17"/>
    <mergeCell ref="K15:K17"/>
    <mergeCell ref="T15:W15"/>
    <mergeCell ref="P16:S16"/>
    <mergeCell ref="T16:W16"/>
    <mergeCell ref="B3:I3"/>
    <mergeCell ref="B5:I5"/>
    <mergeCell ref="I15:I17"/>
    <mergeCell ref="P15:S15"/>
    <mergeCell ref="A15:A17"/>
    <mergeCell ref="B15:B17"/>
    <mergeCell ref="C15:C17"/>
    <mergeCell ref="D15:D17"/>
    <mergeCell ref="H15:H17"/>
    <mergeCell ref="E15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Tomasz Gójski</cp:lastModifiedBy>
  <cp:lastPrinted>2020-06-13T12:05:31Z</cp:lastPrinted>
  <dcterms:created xsi:type="dcterms:W3CDTF">2012-09-08T11:04:19Z</dcterms:created>
  <dcterms:modified xsi:type="dcterms:W3CDTF">2021-04-01T11:17:05Z</dcterms:modified>
  <cp:category/>
  <cp:version/>
  <cp:contentType/>
  <cp:contentStatus/>
</cp:coreProperties>
</file>